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M:\FEHIDRO\FEHIDRO 2017\Substituição de rede Setor 17 - Capuava\LICITAÇÃO\"/>
    </mc:Choice>
  </mc:AlternateContent>
  <xr:revisionPtr revIDLastSave="0" documentId="8_{0EEAD56E-16C7-414B-9F84-28F25310E1C2}" xr6:coauthVersionLast="28" xr6:coauthVersionMax="28" xr10:uidLastSave="{00000000-0000-0000-0000-000000000000}"/>
  <bookViews>
    <workbookView xWindow="0" yWindow="0" windowWidth="24000" windowHeight="8460" tabRatio="809"/>
  </bookViews>
  <sheets>
    <sheet name="PLANILHA ORÇAMENTÁRIA" sheetId="1" r:id="rId1"/>
    <sheet name="QUANTITATIVO LIGAÇÕES" sheetId="3" r:id="rId2"/>
    <sheet name="QUANTITATIVO REDES" sheetId="4" r:id="rId3"/>
    <sheet name="QUANTITATIVO DE ABERTURAS" sheetId="5" r:id="rId4"/>
    <sheet name="CRONOGRAMA FIS_FINAN" sheetId="8" r:id="rId5"/>
  </sheets>
  <definedNames>
    <definedName name="_xlnm.Print_Area" localSheetId="4">'CRONOGRAMA FIS_FINAN'!$A$1:$Q$45</definedName>
    <definedName name="_xlnm.Print_Area" localSheetId="0">'PLANILHA ORÇAMENTÁRIA'!$A$1:$K$164</definedName>
    <definedName name="_xlnm.Print_Area" localSheetId="3">'QUANTITATIVO DE ABERTURAS'!$B$1:$G$569</definedName>
    <definedName name="_xlnm.Print_Area" localSheetId="1">'QUANTITATIVO LIGAÇÕES'!$A$1:$D$112</definedName>
    <definedName name="_xlnm.Print_Area" localSheetId="2">'QUANTITATIVO REDES'!$A$1:$D$75</definedName>
    <definedName name="_xlnm.Print_Titles" localSheetId="0">'PLANILHA ORÇAMENTÁRIA'!$1:$7</definedName>
  </definedNames>
  <calcPr calcId="171027" fullCalcOnLoad="1"/>
</workbook>
</file>

<file path=xl/calcChain.xml><?xml version="1.0" encoding="utf-8"?>
<calcChain xmlns="http://schemas.openxmlformats.org/spreadsheetml/2006/main">
  <c r="C32" i="8" l="1"/>
  <c r="F116" i="1"/>
  <c r="G100" i="1"/>
  <c r="F59" i="1"/>
  <c r="G59" i="1" s="1"/>
  <c r="H59" i="1" s="1"/>
  <c r="G122" i="1"/>
  <c r="H122" i="1"/>
  <c r="M8" i="1"/>
  <c r="N8" i="1"/>
  <c r="B23" i="8"/>
  <c r="B27" i="8"/>
  <c r="B25" i="8"/>
  <c r="B21" i="8"/>
  <c r="B19" i="8"/>
  <c r="B17" i="8"/>
  <c r="B15" i="8"/>
  <c r="B13" i="8"/>
  <c r="B11" i="8"/>
  <c r="B9" i="8"/>
  <c r="B7" i="8"/>
  <c r="C63" i="4"/>
  <c r="C66" i="4"/>
  <c r="G144" i="1"/>
  <c r="H144" i="1" s="1"/>
  <c r="G77" i="1"/>
  <c r="H77" i="1" s="1"/>
  <c r="G78" i="1"/>
  <c r="G79" i="1"/>
  <c r="G76" i="1"/>
  <c r="H76" i="1"/>
  <c r="G71" i="1"/>
  <c r="G72" i="1"/>
  <c r="G73" i="1"/>
  <c r="G70" i="1"/>
  <c r="H70" i="1" s="1"/>
  <c r="G65" i="1"/>
  <c r="G66" i="1"/>
  <c r="G67" i="1"/>
  <c r="G64" i="1"/>
  <c r="H64" i="1" s="1"/>
  <c r="G116" i="1"/>
  <c r="H116" i="1" s="1"/>
  <c r="G115" i="1"/>
  <c r="H115" i="1" s="1"/>
  <c r="E147" i="1"/>
  <c r="G147" i="1"/>
  <c r="G146" i="1"/>
  <c r="H146" i="1" s="1"/>
  <c r="E145" i="1"/>
  <c r="G145" i="1"/>
  <c r="H145" i="1"/>
  <c r="G143" i="1"/>
  <c r="H143" i="1" s="1"/>
  <c r="G135" i="1"/>
  <c r="H135" i="1"/>
  <c r="G136" i="1"/>
  <c r="H136" i="1" s="1"/>
  <c r="G137" i="1"/>
  <c r="H137" i="1"/>
  <c r="G138" i="1"/>
  <c r="H138" i="1" s="1"/>
  <c r="G139" i="1"/>
  <c r="H139" i="1"/>
  <c r="G140" i="1"/>
  <c r="H140" i="1" s="1"/>
  <c r="G142" i="1"/>
  <c r="H142" i="1"/>
  <c r="G129" i="1"/>
  <c r="G130" i="1"/>
  <c r="G131" i="1"/>
  <c r="G132" i="1"/>
  <c r="H132" i="1" s="1"/>
  <c r="G133" i="1"/>
  <c r="H133" i="1"/>
  <c r="G134" i="1"/>
  <c r="H134" i="1" s="1"/>
  <c r="E129" i="1"/>
  <c r="E146" i="1"/>
  <c r="E131" i="1"/>
  <c r="H131" i="1" s="1"/>
  <c r="E130" i="1"/>
  <c r="G114" i="1"/>
  <c r="H114" i="1"/>
  <c r="G113" i="1"/>
  <c r="H113" i="1" s="1"/>
  <c r="G112" i="1"/>
  <c r="H112" i="1"/>
  <c r="G111" i="1"/>
  <c r="H111" i="1" s="1"/>
  <c r="G110" i="1"/>
  <c r="H110" i="1"/>
  <c r="G109" i="1"/>
  <c r="H109" i="1" s="1"/>
  <c r="G108" i="1"/>
  <c r="H108" i="1"/>
  <c r="G107" i="1"/>
  <c r="H107" i="1" s="1"/>
  <c r="G106" i="1"/>
  <c r="H106" i="1"/>
  <c r="G105" i="1"/>
  <c r="H105" i="1" s="1"/>
  <c r="G104" i="1"/>
  <c r="H104" i="1"/>
  <c r="G103" i="1"/>
  <c r="H103" i="1" s="1"/>
  <c r="G102" i="1"/>
  <c r="H102" i="1"/>
  <c r="G123" i="1"/>
  <c r="H123" i="1" s="1"/>
  <c r="G121" i="1"/>
  <c r="H121" i="1"/>
  <c r="G120" i="1"/>
  <c r="H120" i="1" s="1"/>
  <c r="G119" i="1"/>
  <c r="H119" i="1"/>
  <c r="G118" i="1"/>
  <c r="H118" i="1" s="1"/>
  <c r="G117" i="1"/>
  <c r="H117" i="1"/>
  <c r="G101" i="1"/>
  <c r="H101" i="1" s="1"/>
  <c r="H100" i="1"/>
  <c r="E82" i="1"/>
  <c r="E26" i="1"/>
  <c r="G25" i="1"/>
  <c r="C44" i="4"/>
  <c r="C12" i="4"/>
  <c r="C65" i="4"/>
  <c r="C58" i="4"/>
  <c r="C16" i="4"/>
  <c r="C51" i="4"/>
  <c r="D68" i="4"/>
  <c r="C7" i="4"/>
  <c r="C6" i="4"/>
  <c r="C43" i="4"/>
  <c r="G33" i="1"/>
  <c r="G81" i="1"/>
  <c r="E81" i="1"/>
  <c r="G80" i="1"/>
  <c r="H80" i="1" s="1"/>
  <c r="E80" i="1"/>
  <c r="E79" i="1"/>
  <c r="E78" i="1"/>
  <c r="E77" i="1"/>
  <c r="G40" i="1"/>
  <c r="G41" i="1"/>
  <c r="G34" i="1"/>
  <c r="H34" i="1" s="1"/>
  <c r="D67" i="3"/>
  <c r="C24" i="4"/>
  <c r="C3" i="4"/>
  <c r="D40" i="4"/>
  <c r="E34" i="1"/>
  <c r="D63" i="5"/>
  <c r="D234" i="5"/>
  <c r="E68" i="1"/>
  <c r="E65" i="1"/>
  <c r="D34" i="3"/>
  <c r="E40" i="1"/>
  <c r="C33" i="8"/>
  <c r="G9" i="1"/>
  <c r="H9" i="1"/>
  <c r="G75" i="1"/>
  <c r="G74" i="1"/>
  <c r="E75" i="1"/>
  <c r="H75" i="1" s="1"/>
  <c r="G94" i="1"/>
  <c r="G93" i="1"/>
  <c r="G91" i="1"/>
  <c r="H91" i="1" s="1"/>
  <c r="G90" i="1"/>
  <c r="G89" i="1"/>
  <c r="G88" i="1"/>
  <c r="G15" i="1"/>
  <c r="H15" i="1" s="1"/>
  <c r="G68" i="1"/>
  <c r="H68" i="1" s="1"/>
  <c r="G82" i="1"/>
  <c r="G69" i="1"/>
  <c r="G16" i="1"/>
  <c r="H16" i="1" s="1"/>
  <c r="G17" i="1"/>
  <c r="E15" i="1"/>
  <c r="G92" i="1"/>
  <c r="H92" i="1" s="1"/>
  <c r="G87" i="1"/>
  <c r="G58" i="1"/>
  <c r="G57" i="1"/>
  <c r="G55" i="1"/>
  <c r="G54" i="1"/>
  <c r="G53" i="1"/>
  <c r="G24" i="1"/>
  <c r="G56" i="1"/>
  <c r="D508" i="5"/>
  <c r="D507" i="5"/>
  <c r="D506" i="5"/>
  <c r="D505" i="5"/>
  <c r="D504" i="5"/>
  <c r="D509" i="5"/>
  <c r="D473" i="5"/>
  <c r="D472" i="5"/>
  <c r="D471" i="5"/>
  <c r="D470" i="5"/>
  <c r="D441" i="5"/>
  <c r="D440" i="5"/>
  <c r="D439" i="5"/>
  <c r="D438" i="5"/>
  <c r="D409" i="5"/>
  <c r="D405" i="5"/>
  <c r="D404" i="5"/>
  <c r="D403" i="5"/>
  <c r="D402" i="5"/>
  <c r="D371" i="5"/>
  <c r="D370" i="5"/>
  <c r="D336" i="5"/>
  <c r="D335" i="5"/>
  <c r="D334" i="5"/>
  <c r="D333" i="5"/>
  <c r="D302" i="5"/>
  <c r="D301" i="5"/>
  <c r="D266" i="5"/>
  <c r="D265" i="5"/>
  <c r="D198" i="5"/>
  <c r="D197" i="5"/>
  <c r="D165" i="5"/>
  <c r="D164" i="5"/>
  <c r="D130" i="5"/>
  <c r="D129" i="5"/>
  <c r="D100" i="5"/>
  <c r="D99" i="5"/>
  <c r="D98" i="5"/>
  <c r="D97" i="5"/>
  <c r="D32" i="5"/>
  <c r="D31" i="5"/>
  <c r="D30" i="5"/>
  <c r="D29" i="5"/>
  <c r="D512" i="5"/>
  <c r="D477" i="5"/>
  <c r="D445" i="5"/>
  <c r="D377" i="5"/>
  <c r="D340" i="5"/>
  <c r="D308" i="5"/>
  <c r="D272" i="5"/>
  <c r="D204" i="5"/>
  <c r="D171" i="5"/>
  <c r="D136" i="5"/>
  <c r="D104" i="5"/>
  <c r="D36" i="5"/>
  <c r="Q36" i="8"/>
  <c r="Q35" i="8"/>
  <c r="Q34" i="8"/>
  <c r="Q29" i="8"/>
  <c r="G26" i="1"/>
  <c r="H26" i="1" s="1"/>
  <c r="K152" i="1"/>
  <c r="G27" i="1"/>
  <c r="G48" i="1"/>
  <c r="H48" i="1" s="1"/>
  <c r="G47" i="1"/>
  <c r="G32" i="1"/>
  <c r="G35" i="1"/>
  <c r="G42" i="1"/>
  <c r="H42" i="1" s="1"/>
  <c r="E48" i="1"/>
  <c r="E47" i="1"/>
  <c r="E27" i="1"/>
  <c r="D26" i="5"/>
  <c r="D27" i="5"/>
  <c r="D28" i="5"/>
  <c r="D34" i="5"/>
  <c r="D35" i="5"/>
  <c r="D58" i="5"/>
  <c r="D59" i="5"/>
  <c r="D66" i="5"/>
  <c r="D67" i="5"/>
  <c r="D94" i="5"/>
  <c r="D95" i="5"/>
  <c r="D96" i="5"/>
  <c r="D101" i="5"/>
  <c r="D102" i="5"/>
  <c r="D103" i="5"/>
  <c r="D126" i="5"/>
  <c r="D127" i="5"/>
  <c r="D128" i="5"/>
  <c r="D133" i="5"/>
  <c r="D131" i="5"/>
  <c r="D132" i="5"/>
  <c r="D134" i="5"/>
  <c r="D135" i="5"/>
  <c r="D161" i="5"/>
  <c r="D543" i="5"/>
  <c r="D162" i="5"/>
  <c r="D163" i="5"/>
  <c r="D168" i="5"/>
  <c r="D166" i="5"/>
  <c r="D167" i="5"/>
  <c r="D169" i="5"/>
  <c r="D170" i="5"/>
  <c r="D194" i="5"/>
  <c r="D195" i="5"/>
  <c r="D196" i="5"/>
  <c r="D201" i="5"/>
  <c r="D199" i="5"/>
  <c r="D200" i="5"/>
  <c r="D202" i="5"/>
  <c r="D203" i="5"/>
  <c r="D230" i="5"/>
  <c r="D231" i="5"/>
  <c r="D238" i="5"/>
  <c r="D239" i="5"/>
  <c r="D262" i="5"/>
  <c r="D263" i="5"/>
  <c r="D264" i="5"/>
  <c r="D269" i="5"/>
  <c r="D267" i="5"/>
  <c r="D268" i="5"/>
  <c r="D270" i="5"/>
  <c r="D271" i="5"/>
  <c r="D298" i="5"/>
  <c r="D299" i="5"/>
  <c r="D300" i="5"/>
  <c r="D305" i="5"/>
  <c r="D303" i="5"/>
  <c r="D304" i="5"/>
  <c r="D551" i="5"/>
  <c r="E90" i="1"/>
  <c r="H90" i="1"/>
  <c r="D306" i="5"/>
  <c r="D553" i="5"/>
  <c r="D307" i="5"/>
  <c r="D554" i="5"/>
  <c r="D330" i="5"/>
  <c r="D331" i="5"/>
  <c r="D332" i="5"/>
  <c r="D338" i="5"/>
  <c r="D555" i="5"/>
  <c r="D339" i="5"/>
  <c r="D556" i="5"/>
  <c r="D367" i="5"/>
  <c r="D368" i="5"/>
  <c r="D369" i="5"/>
  <c r="D374" i="5"/>
  <c r="D372" i="5"/>
  <c r="D373" i="5"/>
  <c r="D375" i="5"/>
  <c r="D376" i="5"/>
  <c r="D399" i="5"/>
  <c r="D400" i="5"/>
  <c r="D401" i="5"/>
  <c r="D406" i="5"/>
  <c r="D407" i="5"/>
  <c r="D408" i="5"/>
  <c r="D435" i="5"/>
  <c r="D436" i="5"/>
  <c r="D437" i="5"/>
  <c r="D442" i="5"/>
  <c r="D443" i="5"/>
  <c r="D444" i="5"/>
  <c r="D467" i="5"/>
  <c r="D468" i="5"/>
  <c r="D469" i="5"/>
  <c r="D474" i="5"/>
  <c r="K473" i="5"/>
  <c r="D475" i="5"/>
  <c r="D476" i="5"/>
  <c r="D502" i="5"/>
  <c r="D503" i="5"/>
  <c r="D510" i="5"/>
  <c r="D511" i="5"/>
  <c r="D536" i="5"/>
  <c r="D545" i="5"/>
  <c r="D537" i="5"/>
  <c r="D539" i="5"/>
  <c r="D538" i="5"/>
  <c r="D546" i="5"/>
  <c r="D100" i="3"/>
  <c r="E42" i="1"/>
  <c r="E72" i="1"/>
  <c r="E73" i="1"/>
  <c r="H73" i="1" s="1"/>
  <c r="E74" i="1"/>
  <c r="H74" i="1" s="1"/>
  <c r="E71" i="1"/>
  <c r="H71" i="1" s="1"/>
  <c r="E67" i="1"/>
  <c r="D68" i="5"/>
  <c r="D64" i="5"/>
  <c r="D62" i="5"/>
  <c r="D61" i="5"/>
  <c r="D60" i="5"/>
  <c r="D65" i="5"/>
  <c r="D236" i="5"/>
  <c r="D235" i="5"/>
  <c r="D233" i="5"/>
  <c r="D232" i="5"/>
  <c r="D237" i="5"/>
  <c r="D240" i="5"/>
  <c r="E69" i="1"/>
  <c r="E66" i="1"/>
  <c r="H66" i="1"/>
  <c r="D33" i="4"/>
  <c r="D47" i="4"/>
  <c r="E35" i="1"/>
  <c r="H35" i="1"/>
  <c r="E41" i="1"/>
  <c r="D557" i="5"/>
  <c r="E91" i="1"/>
  <c r="D550" i="5"/>
  <c r="E87" i="1"/>
  <c r="H87" i="1"/>
  <c r="E32" i="1"/>
  <c r="H32" i="1"/>
  <c r="D337" i="5"/>
  <c r="D549" i="5"/>
  <c r="E88" i="1"/>
  <c r="H88" i="1"/>
  <c r="D33" i="5"/>
  <c r="H65" i="1"/>
  <c r="H78" i="1"/>
  <c r="H47" i="1"/>
  <c r="H72" i="1"/>
  <c r="H130" i="1"/>
  <c r="H27" i="1"/>
  <c r="D548" i="5"/>
  <c r="E89" i="1"/>
  <c r="H89" i="1" s="1"/>
  <c r="H81" i="1"/>
  <c r="H79" i="1"/>
  <c r="H129" i="1"/>
  <c r="H147" i="1"/>
  <c r="H69" i="1"/>
  <c r="H67" i="1"/>
  <c r="H82" i="1"/>
  <c r="H41" i="1"/>
  <c r="D544" i="5"/>
  <c r="E16" i="1"/>
  <c r="E92" i="1"/>
  <c r="E94" i="1"/>
  <c r="E17" i="1"/>
  <c r="H17" i="1"/>
  <c r="E93" i="1"/>
  <c r="H93" i="1"/>
  <c r="H94" i="1"/>
  <c r="E25" i="1"/>
  <c r="H25" i="1" s="1"/>
  <c r="H40" i="1"/>
  <c r="E24" i="1"/>
  <c r="H24" i="1" s="1"/>
  <c r="E33" i="1"/>
  <c r="H33" i="1"/>
  <c r="D547" i="5"/>
  <c r="D552" i="5"/>
  <c r="E53" i="1"/>
  <c r="E54" i="1"/>
  <c r="H54" i="1"/>
  <c r="H37" i="1"/>
  <c r="G13" i="8" s="1"/>
  <c r="H29" i="1"/>
  <c r="E56" i="1"/>
  <c r="E59" i="1"/>
  <c r="E57" i="1"/>
  <c r="H57" i="1" s="1"/>
  <c r="L11" i="8"/>
  <c r="M11" i="8"/>
  <c r="E13" i="8"/>
  <c r="M13" i="8"/>
  <c r="K13" i="8"/>
  <c r="O13" i="8"/>
  <c r="H13" i="8"/>
  <c r="D13" i="8"/>
  <c r="I13" i="8"/>
  <c r="J13" i="8"/>
  <c r="N13" i="8"/>
  <c r="E58" i="1"/>
  <c r="H58" i="1" s="1"/>
  <c r="H53" i="1"/>
  <c r="E55" i="1"/>
  <c r="H55" i="1" s="1"/>
  <c r="J59" i="1" l="1"/>
  <c r="I59" i="1" s="1"/>
  <c r="H149" i="1"/>
  <c r="H50" i="1"/>
  <c r="H12" i="1"/>
  <c r="J101" i="1"/>
  <c r="I101" i="1" s="1"/>
  <c r="H125" i="1"/>
  <c r="J143" i="1"/>
  <c r="I143" i="1" s="1"/>
  <c r="M9" i="1"/>
  <c r="N9" i="1" s="1"/>
  <c r="P8" i="1"/>
  <c r="M29" i="1"/>
  <c r="N11" i="8"/>
  <c r="O11" i="8"/>
  <c r="Q11" i="8" s="1"/>
  <c r="J80" i="1"/>
  <c r="I80" i="1" s="1"/>
  <c r="H84" i="1"/>
  <c r="J77" i="1"/>
  <c r="I77" i="1" s="1"/>
  <c r="J33" i="1"/>
  <c r="I33" i="1" s="1"/>
  <c r="J109" i="1"/>
  <c r="I109" i="1" s="1"/>
  <c r="J70" i="1"/>
  <c r="I70" i="1"/>
  <c r="M37" i="1"/>
  <c r="F13" i="8"/>
  <c r="Q13" i="8" s="1"/>
  <c r="L13" i="8"/>
  <c r="H44" i="1"/>
  <c r="J123" i="1"/>
  <c r="I123" i="1" s="1"/>
  <c r="J88" i="1"/>
  <c r="I88" i="1" s="1"/>
  <c r="H96" i="1"/>
  <c r="J32" i="1"/>
  <c r="J66" i="1"/>
  <c r="I66" i="1"/>
  <c r="J16" i="1"/>
  <c r="I16" i="1" s="1"/>
  <c r="H19" i="1"/>
  <c r="J15" i="1"/>
  <c r="I15" i="1"/>
  <c r="J34" i="1"/>
  <c r="I34" i="1" s="1"/>
  <c r="J120" i="1"/>
  <c r="I120" i="1" s="1"/>
  <c r="J144" i="1"/>
  <c r="I144" i="1" s="1"/>
  <c r="J69" i="1"/>
  <c r="I69" i="1" s="1"/>
  <c r="J78" i="1"/>
  <c r="I78" i="1" s="1"/>
  <c r="J26" i="1"/>
  <c r="I26" i="1" s="1"/>
  <c r="H56" i="1"/>
  <c r="J118" i="1"/>
  <c r="I118" i="1" s="1"/>
  <c r="J113" i="1"/>
  <c r="I113" i="1" s="1"/>
  <c r="J131" i="1"/>
  <c r="I131" i="1" s="1"/>
  <c r="J137" i="1"/>
  <c r="I137" i="1" s="1"/>
  <c r="I32" i="1" l="1"/>
  <c r="G21" i="8"/>
  <c r="O21" i="8"/>
  <c r="I21" i="8"/>
  <c r="N21" i="8"/>
  <c r="D21" i="8"/>
  <c r="L21" i="8"/>
  <c r="F21" i="8"/>
  <c r="M84" i="1"/>
  <c r="J21" i="8"/>
  <c r="H21" i="8"/>
  <c r="N84" i="1"/>
  <c r="M21" i="8"/>
  <c r="E21" i="8"/>
  <c r="K21" i="8"/>
  <c r="J79" i="1"/>
  <c r="I79" i="1" s="1"/>
  <c r="J106" i="1"/>
  <c r="I106" i="1" s="1"/>
  <c r="J114" i="1"/>
  <c r="I114" i="1" s="1"/>
  <c r="J112" i="1"/>
  <c r="I112" i="1" s="1"/>
  <c r="J110" i="1"/>
  <c r="I110" i="1" s="1"/>
  <c r="J108" i="1"/>
  <c r="I108" i="1" s="1"/>
  <c r="J147" i="1"/>
  <c r="I147" i="1" s="1"/>
  <c r="J81" i="1"/>
  <c r="I81" i="1" s="1"/>
  <c r="J133" i="1"/>
  <c r="I133" i="1" s="1"/>
  <c r="J93" i="1"/>
  <c r="I93" i="1" s="1"/>
  <c r="J47" i="1"/>
  <c r="J102" i="1"/>
  <c r="I102" i="1" s="1"/>
  <c r="J72" i="1"/>
  <c r="I72" i="1" s="1"/>
  <c r="J121" i="1"/>
  <c r="I121" i="1" s="1"/>
  <c r="J104" i="1"/>
  <c r="I104" i="1" s="1"/>
  <c r="J67" i="1"/>
  <c r="I67" i="1" s="1"/>
  <c r="J122" i="1"/>
  <c r="I122" i="1" s="1"/>
  <c r="J27" i="1"/>
  <c r="I27" i="1" s="1"/>
  <c r="J82" i="1"/>
  <c r="I82" i="1" s="1"/>
  <c r="J94" i="1"/>
  <c r="I94" i="1" s="1"/>
  <c r="J141" i="1"/>
  <c r="I141" i="1" s="1"/>
  <c r="J119" i="1"/>
  <c r="I119" i="1" s="1"/>
  <c r="J100" i="1"/>
  <c r="J91" i="1"/>
  <c r="I91" i="1" s="1"/>
  <c r="J134" i="1"/>
  <c r="I134" i="1" s="1"/>
  <c r="J129" i="1"/>
  <c r="J65" i="1"/>
  <c r="I65" i="1" s="1"/>
  <c r="J87" i="1"/>
  <c r="J92" i="1"/>
  <c r="I92" i="1" s="1"/>
  <c r="N37" i="1"/>
  <c r="J9" i="1"/>
  <c r="J105" i="1"/>
  <c r="I105" i="1" s="1"/>
  <c r="J68" i="1"/>
  <c r="I68" i="1" s="1"/>
  <c r="J40" i="1"/>
  <c r="N29" i="1"/>
  <c r="J117" i="1"/>
  <c r="I117" i="1" s="1"/>
  <c r="J64" i="1"/>
  <c r="J136" i="1"/>
  <c r="I136" i="1" s="1"/>
  <c r="J25" i="1"/>
  <c r="I25" i="1" s="1"/>
  <c r="J54" i="1"/>
  <c r="I54" i="1" s="1"/>
  <c r="J103" i="1"/>
  <c r="I103" i="1" s="1"/>
  <c r="O7" i="8"/>
  <c r="E7" i="8"/>
  <c r="J7" i="8"/>
  <c r="M12" i="1"/>
  <c r="N12" i="1"/>
  <c r="H7" i="8"/>
  <c r="M7" i="8"/>
  <c r="G7" i="8"/>
  <c r="D7" i="8"/>
  <c r="N7" i="8"/>
  <c r="K7" i="8"/>
  <c r="L7" i="8"/>
  <c r="F7" i="8"/>
  <c r="I7" i="8"/>
  <c r="J48" i="1"/>
  <c r="I48" i="1" s="1"/>
  <c r="J41" i="1"/>
  <c r="I41" i="1" s="1"/>
  <c r="N96" i="1"/>
  <c r="O23" i="8"/>
  <c r="M23" i="8"/>
  <c r="J23" i="8"/>
  <c r="N23" i="8"/>
  <c r="H23" i="8"/>
  <c r="I23" i="8"/>
  <c r="E23" i="8"/>
  <c r="F23" i="8"/>
  <c r="G23" i="8"/>
  <c r="L23" i="8"/>
  <c r="M96" i="1"/>
  <c r="K23" i="8"/>
  <c r="G15" i="8"/>
  <c r="E15" i="8"/>
  <c r="N15" i="8"/>
  <c r="K15" i="8"/>
  <c r="D15" i="8"/>
  <c r="N44" i="1"/>
  <c r="L15" i="8"/>
  <c r="M15" i="8"/>
  <c r="I15" i="8"/>
  <c r="O15" i="8"/>
  <c r="J15" i="8"/>
  <c r="H15" i="8"/>
  <c r="F15" i="8"/>
  <c r="M44" i="1"/>
  <c r="J76" i="1"/>
  <c r="I76" i="1" s="1"/>
  <c r="J142" i="1"/>
  <c r="I142" i="1" s="1"/>
  <c r="J24" i="1"/>
  <c r="J17" i="1"/>
  <c r="I17" i="1" s="1"/>
  <c r="I19" i="1" s="1"/>
  <c r="L19" i="1" s="1"/>
  <c r="J111" i="1"/>
  <c r="I111" i="1" s="1"/>
  <c r="J130" i="1"/>
  <c r="I130" i="1" s="1"/>
  <c r="J58" i="1"/>
  <c r="I58" i="1" s="1"/>
  <c r="J55" i="1"/>
  <c r="I55" i="1" s="1"/>
  <c r="J57" i="1"/>
  <c r="I57" i="1" s="1"/>
  <c r="M19" i="1"/>
  <c r="G9" i="8"/>
  <c r="H9" i="8"/>
  <c r="K9" i="8"/>
  <c r="N9" i="8"/>
  <c r="I9" i="8"/>
  <c r="E9" i="8"/>
  <c r="L9" i="8"/>
  <c r="J9" i="8"/>
  <c r="N19" i="1"/>
  <c r="D9" i="8"/>
  <c r="F9" i="8"/>
  <c r="M9" i="8"/>
  <c r="O9" i="8"/>
  <c r="N149" i="1"/>
  <c r="M149" i="1"/>
  <c r="O27" i="8"/>
  <c r="Q27" i="8" s="1"/>
  <c r="J146" i="1"/>
  <c r="I146" i="1" s="1"/>
  <c r="J90" i="1"/>
  <c r="I90" i="1" s="1"/>
  <c r="J56" i="1"/>
  <c r="I56" i="1" s="1"/>
  <c r="J74" i="1"/>
  <c r="I74" i="1" s="1"/>
  <c r="J135" i="1"/>
  <c r="I135" i="1" s="1"/>
  <c r="J107" i="1"/>
  <c r="I107" i="1" s="1"/>
  <c r="J115" i="1"/>
  <c r="I115" i="1" s="1"/>
  <c r="J140" i="1"/>
  <c r="I140" i="1" s="1"/>
  <c r="J138" i="1"/>
  <c r="I138" i="1" s="1"/>
  <c r="J19" i="1"/>
  <c r="J71" i="1"/>
  <c r="I71" i="1" s="1"/>
  <c r="J35" i="1"/>
  <c r="I35" i="1" s="1"/>
  <c r="J145" i="1"/>
  <c r="I145" i="1" s="1"/>
  <c r="J89" i="1"/>
  <c r="I89" i="1" s="1"/>
  <c r="J132" i="1"/>
  <c r="I132" i="1" s="1"/>
  <c r="J116" i="1"/>
  <c r="I116" i="1" s="1"/>
  <c r="J139" i="1"/>
  <c r="I139" i="1" s="1"/>
  <c r="J75" i="1"/>
  <c r="I75" i="1" s="1"/>
  <c r="N125" i="1"/>
  <c r="O25" i="8"/>
  <c r="Q25" i="8" s="1"/>
  <c r="M125" i="1"/>
  <c r="H17" i="8"/>
  <c r="E17" i="8"/>
  <c r="M50" i="1"/>
  <c r="M17" i="8"/>
  <c r="G17" i="8"/>
  <c r="O17" i="8"/>
  <c r="F17" i="8"/>
  <c r="D17" i="8"/>
  <c r="L17" i="8"/>
  <c r="N17" i="8"/>
  <c r="N50" i="1"/>
  <c r="K17" i="8"/>
  <c r="J17" i="8"/>
  <c r="I17" i="8"/>
  <c r="J42" i="1"/>
  <c r="I42" i="1" s="1"/>
  <c r="J73" i="1"/>
  <c r="I73" i="1" s="1"/>
  <c r="H61" i="1"/>
  <c r="J53" i="1"/>
  <c r="J96" i="1" l="1"/>
  <c r="I87" i="1"/>
  <c r="I96" i="1" s="1"/>
  <c r="L96" i="1" s="1"/>
  <c r="M19" i="8"/>
  <c r="M31" i="8" s="1"/>
  <c r="E19" i="8"/>
  <c r="H19" i="8"/>
  <c r="M61" i="1"/>
  <c r="L19" i="8"/>
  <c r="L31" i="8" s="1"/>
  <c r="N19" i="8"/>
  <c r="O19" i="8"/>
  <c r="G19" i="8"/>
  <c r="K19" i="8"/>
  <c r="K31" i="8" s="1"/>
  <c r="D19" i="8"/>
  <c r="N61" i="1"/>
  <c r="I19" i="8"/>
  <c r="J19" i="8"/>
  <c r="J31" i="8" s="1"/>
  <c r="F19" i="8"/>
  <c r="Q23" i="8"/>
  <c r="H152" i="1"/>
  <c r="N31" i="8"/>
  <c r="H31" i="8"/>
  <c r="E31" i="8"/>
  <c r="J12" i="1"/>
  <c r="I9" i="1"/>
  <c r="I12" i="1" s="1"/>
  <c r="J125" i="1"/>
  <c r="I100" i="1"/>
  <c r="I125" i="1" s="1"/>
  <c r="L125" i="1" s="1"/>
  <c r="I47" i="1"/>
  <c r="I50" i="1" s="1"/>
  <c r="J50" i="1"/>
  <c r="Q21" i="8"/>
  <c r="Q17" i="8"/>
  <c r="Q9" i="8"/>
  <c r="F31" i="8"/>
  <c r="Q7" i="8"/>
  <c r="D31" i="8"/>
  <c r="N155" i="1"/>
  <c r="O31" i="8"/>
  <c r="J44" i="1"/>
  <c r="I40" i="1"/>
  <c r="I44" i="1" s="1"/>
  <c r="L44" i="1" s="1"/>
  <c r="I129" i="1"/>
  <c r="I149" i="1" s="1"/>
  <c r="L149" i="1" s="1"/>
  <c r="J149" i="1"/>
  <c r="I37" i="1"/>
  <c r="J61" i="1"/>
  <c r="I53" i="1"/>
  <c r="I61" i="1" s="1"/>
  <c r="L61" i="1" s="1"/>
  <c r="I31" i="8"/>
  <c r="J29" i="1"/>
  <c r="I24" i="1"/>
  <c r="I29" i="1" s="1"/>
  <c r="L29" i="1" s="1"/>
  <c r="Q15" i="8"/>
  <c r="G31" i="8"/>
  <c r="M155" i="1"/>
  <c r="J84" i="1"/>
  <c r="I64" i="1"/>
  <c r="I84" i="1" s="1"/>
  <c r="L84" i="1" s="1"/>
  <c r="J37" i="1"/>
  <c r="L32" i="8" l="1"/>
  <c r="L33" i="8"/>
  <c r="J33" i="8"/>
  <c r="J32" i="8"/>
  <c r="K32" i="8"/>
  <c r="K33" i="8"/>
  <c r="M33" i="8"/>
  <c r="M32" i="8"/>
  <c r="I152" i="1"/>
  <c r="L12" i="1"/>
  <c r="L50" i="1"/>
  <c r="J152" i="1"/>
  <c r="N32" i="8"/>
  <c r="N33" i="8"/>
  <c r="L37" i="1"/>
  <c r="E32" i="8"/>
  <c r="E33" i="8"/>
  <c r="G32" i="8"/>
  <c r="G33" i="8"/>
  <c r="Q31" i="8"/>
  <c r="D32" i="8"/>
  <c r="D33" i="8"/>
  <c r="I33" i="8"/>
  <c r="I32" i="8"/>
  <c r="O33" i="8"/>
  <c r="O32" i="8"/>
  <c r="F32" i="8"/>
  <c r="F33" i="8"/>
  <c r="H33" i="8"/>
  <c r="H32" i="8"/>
  <c r="Q19" i="8"/>
  <c r="Q33" i="8" l="1"/>
  <c r="Q32" i="8"/>
  <c r="I153" i="1"/>
</calcChain>
</file>

<file path=xl/sharedStrings.xml><?xml version="1.0" encoding="utf-8"?>
<sst xmlns="http://schemas.openxmlformats.org/spreadsheetml/2006/main" count="1361" uniqueCount="415">
  <si>
    <t>TOTAIS</t>
  </si>
  <si>
    <t>CONTRAPARTIDA</t>
  </si>
  <si>
    <t>TOMADOR:</t>
  </si>
  <si>
    <t>UNIDADE</t>
  </si>
  <si>
    <t>FEHIDRO</t>
  </si>
  <si>
    <t>FONTE DO RECURSO</t>
  </si>
  <si>
    <t>VALOR TOTAL</t>
  </si>
  <si>
    <t>ITEM</t>
  </si>
  <si>
    <t>valores em R$</t>
  </si>
  <si>
    <t>QUANT.</t>
  </si>
  <si>
    <t>FUNDO ESTADUAL DE RECURSOS HÍDRICOS - FEHIDRO</t>
  </si>
  <si>
    <t>EMPREENDIMENTO:</t>
  </si>
  <si>
    <t>Nº</t>
  </si>
  <si>
    <t>OUTRAS FONTES FINANCIADORAS</t>
  </si>
  <si>
    <t>GOVERNO DO ESTADO DE SÃO PAULO</t>
  </si>
  <si>
    <t>SECRETARIA DE SANEAMENTO
E RECURSOS HÍDRICOS</t>
  </si>
  <si>
    <t>TOTAL GERAL</t>
  </si>
  <si>
    <t>1.1</t>
  </si>
  <si>
    <t>CÓDIGO</t>
  </si>
  <si>
    <t>74209/001 SINAPI</t>
  </si>
  <si>
    <t>m²</t>
  </si>
  <si>
    <t>COMPANHIA DE DESENVOLVIMENTO DE NOVA ODESSA</t>
  </si>
  <si>
    <t>Serviços técnicos - Locação e cadastro</t>
  </si>
  <si>
    <t>2.1</t>
  </si>
  <si>
    <t>2.2</t>
  </si>
  <si>
    <t>2.3</t>
  </si>
  <si>
    <t>Detecção eletromagnética de interferências</t>
  </si>
  <si>
    <t xml:space="preserve">Sondagem de redes e peças localizadas (cavas) com pavimentação </t>
  </si>
  <si>
    <t>Serviços de substituição de rede por método não destrutivo</t>
  </si>
  <si>
    <t>3.1</t>
  </si>
  <si>
    <t>3.2</t>
  </si>
  <si>
    <t>Troca de ramais de água e passagem/ligação nova de água</t>
  </si>
  <si>
    <t>4.1</t>
  </si>
  <si>
    <t>Detecção, descobrimento e nivelamento de registro</t>
  </si>
  <si>
    <t>5.1</t>
  </si>
  <si>
    <t>Detecção, descobrimento e nivelamento de registro de parada no leito com pavimentação asfaltica</t>
  </si>
  <si>
    <t>Detecção, descobrimento e nivelamento de registro de parada no passeio cimentado</t>
  </si>
  <si>
    <t>Abertura e fechamento de cava</t>
  </si>
  <si>
    <t>6.1</t>
  </si>
  <si>
    <t>6.2</t>
  </si>
  <si>
    <t>74010/001 SINAPI</t>
  </si>
  <si>
    <t>m</t>
  </si>
  <si>
    <t>eq/dia</t>
  </si>
  <si>
    <t>und</t>
  </si>
  <si>
    <t>m³</t>
  </si>
  <si>
    <t>m³ x Km</t>
  </si>
  <si>
    <t>Fornecimento e Instalação de válvulas e registros</t>
  </si>
  <si>
    <t>7.1</t>
  </si>
  <si>
    <t>7.2</t>
  </si>
  <si>
    <t>7.3</t>
  </si>
  <si>
    <t>Recomposição de pavimentação asfáltica/ calçada</t>
  </si>
  <si>
    <t>8.1</t>
  </si>
  <si>
    <t>8.2</t>
  </si>
  <si>
    <t>8.3</t>
  </si>
  <si>
    <t>m³ X Km</t>
  </si>
  <si>
    <t>73766/001 SINAPI</t>
  </si>
  <si>
    <t>73710 SINAPI</t>
  </si>
  <si>
    <t>72943 SINAPI</t>
  </si>
  <si>
    <t>72965 SINAPI</t>
  </si>
  <si>
    <t>ton.</t>
  </si>
  <si>
    <t xml:space="preserve">RUA/AVENIDA </t>
  </si>
  <si>
    <t>QUANTIDADE</t>
  </si>
  <si>
    <t>QUANTITATIVO DE LIGAÇÕES DOMICILIARES</t>
  </si>
  <si>
    <t>TOTAL</t>
  </si>
  <si>
    <t>DIÂMETRO (mm)</t>
  </si>
  <si>
    <t>Subtotal item 01</t>
  </si>
  <si>
    <t>Subtotal item 02</t>
  </si>
  <si>
    <t>Subtotal item 03</t>
  </si>
  <si>
    <t>Subtotal item 04</t>
  </si>
  <si>
    <t>Subtotal item 05</t>
  </si>
  <si>
    <t>Subtotal item 06</t>
  </si>
  <si>
    <t>Subtotal item 07</t>
  </si>
  <si>
    <t>Subtotal item 08</t>
  </si>
  <si>
    <t xml:space="preserve">ENGº RICARDO ONGARO - RESPONSÁVEL LEGAL </t>
  </si>
  <si>
    <t>ton</t>
  </si>
  <si>
    <t xml:space="preserve">Fabricação e aplicação de concreto betuminoso usinado a quente (cbuq) </t>
  </si>
  <si>
    <t xml:space="preserve">m </t>
  </si>
  <si>
    <t>Assent. tubos concreto dn 150 mm</t>
  </si>
  <si>
    <t>Fornec. tubos concreto dn 150 mm</t>
  </si>
  <si>
    <t>Assent. tubos concreto dn 100 mm</t>
  </si>
  <si>
    <t>Fornec. tubos concreto dn 100 mm</t>
  </si>
  <si>
    <r>
      <t>m</t>
    </r>
    <r>
      <rPr>
        <vertAlign val="superscript"/>
        <sz val="14"/>
        <color indexed="8"/>
        <rFont val="Arial"/>
        <family val="2"/>
      </rPr>
      <t>3</t>
    </r>
  </si>
  <si>
    <t>Reaterro compactado sem controle</t>
  </si>
  <si>
    <r>
      <t>m</t>
    </r>
    <r>
      <rPr>
        <vertAlign val="superscript"/>
        <sz val="14"/>
        <color indexed="8"/>
        <rFont val="Arial"/>
        <family val="2"/>
      </rPr>
      <t>2</t>
    </r>
  </si>
  <si>
    <r>
      <t xml:space="preserve">Pintura de ligação com emulsão </t>
    </r>
    <r>
      <rPr>
        <sz val="12"/>
        <rFont val="Arial"/>
        <family val="2"/>
      </rPr>
      <t>rr-2c</t>
    </r>
  </si>
  <si>
    <t>Regularização e compactação de Subleito</t>
  </si>
  <si>
    <t>Base c/macadame hidraulico</t>
  </si>
  <si>
    <t>Base de brita graduada</t>
  </si>
  <si>
    <t>escavaçao de vala</t>
  </si>
  <si>
    <t>Recomposição de calçada</t>
  </si>
  <si>
    <t>Demolição Calçada</t>
  </si>
  <si>
    <t>Demolição de pavimentação asfáltica</t>
  </si>
  <si>
    <t>locaçao e acompanhamento top.</t>
  </si>
  <si>
    <t>RESUMO TOTAL:</t>
  </si>
  <si>
    <t>und.</t>
  </si>
  <si>
    <t>Quantidade de valas</t>
  </si>
  <si>
    <t>Largura da vala (L)</t>
  </si>
  <si>
    <t>Comprimento do trecho</t>
  </si>
  <si>
    <t>Prof. Média (H):</t>
  </si>
  <si>
    <t>VALAS DE LIGAÇÕES (CALÇADA)</t>
  </si>
  <si>
    <t>mm</t>
  </si>
  <si>
    <t>Diâmetro do tubo</t>
  </si>
  <si>
    <t>VALAS DE LIGAÇÕES (REDE DE ÁGUA)</t>
  </si>
  <si>
    <t xml:space="preserve">  </t>
  </si>
  <si>
    <t>VALAS PARA INSTALAÇÃO DE EQUIPAMENTO DE TROCA</t>
  </si>
  <si>
    <t>VALAS DE CONEXÕES</t>
  </si>
  <si>
    <t>VALOR UNITÁRIO SEM BDI</t>
  </si>
  <si>
    <t>VALOR UNITÁRIO COM BDI</t>
  </si>
  <si>
    <t>Assinatura:</t>
  </si>
  <si>
    <t>Reg. Profissional:</t>
  </si>
  <si>
    <t>Nome(2):</t>
  </si>
  <si>
    <t>Nome do Resp. pela Unidade:</t>
  </si>
  <si>
    <t>Somente no caso do Proponente Tomador onde mais de um Dirigente assina o contrato.</t>
  </si>
  <si>
    <t>Nome do Analista:</t>
  </si>
  <si>
    <t>Nome(1):</t>
  </si>
  <si>
    <t>Nome:</t>
  </si>
  <si>
    <t>Agente Técnico:</t>
  </si>
  <si>
    <t>Representante Legal Tomador</t>
  </si>
  <si>
    <t>Responsável Técnico</t>
  </si>
  <si>
    <t>CONTRAPARTIDA APROVADA  (Preenchido pelo AgenteTécnico, define número e valor de cada parcela))</t>
  </si>
  <si>
    <t>DESEMBOLSO APROVADO  (Preenchido pelo AgenteTécnico, define número e valor de cada parcela)</t>
  </si>
  <si>
    <t>Programação Financeira Preliminar (Preenchida pelo Proponente) - Utilize as colunas ao lado para indicar as parcelas previstas, conf. o desenvolvimento do empreendimento e/ou o processo licitatório, sendo a última de no mínimo 10% do valor FEHIDRO.</t>
  </si>
  <si>
    <t>FINANCIAMENTO (MAXIMO 80%)</t>
  </si>
  <si>
    <t xml:space="preserve">  /    /     </t>
  </si>
  <si>
    <t>DE  ATIVIDADES</t>
  </si>
  <si>
    <t>Total (em R$)</t>
  </si>
  <si>
    <t>ÚLTIMA</t>
  </si>
  <si>
    <t>realizado até</t>
  </si>
  <si>
    <t>DISCRIMINAÇÃO</t>
  </si>
  <si>
    <t xml:space="preserve">TOMADOR:  </t>
  </si>
  <si>
    <t>INDICAR DATA BASE
(mm/aaaa)</t>
  </si>
  <si>
    <t>ENGº RICARDO ONGARO</t>
  </si>
  <si>
    <r>
      <t xml:space="preserve">RG: </t>
    </r>
    <r>
      <rPr>
        <sz val="14"/>
        <color indexed="56"/>
        <rFont val="Verdana"/>
        <family val="2"/>
      </rPr>
      <t>25.649.844-1</t>
    </r>
  </si>
  <si>
    <r>
      <t xml:space="preserve">CPF: </t>
    </r>
    <r>
      <rPr>
        <sz val="14"/>
        <color indexed="56"/>
        <rFont val="Verdana"/>
        <family val="2"/>
      </rPr>
      <t>251.042.288-00</t>
    </r>
  </si>
  <si>
    <t xml:space="preserve">Argila ou barro para aterro/reaterro (com transporte ate 10 km) </t>
  </si>
  <si>
    <t xml:space="preserve">Regularização e compactação de subleito ate 20 cm de espessura </t>
  </si>
  <si>
    <t xml:space="preserve">Base para pavimentação com macadame hidráulico, inclusive compactação </t>
  </si>
  <si>
    <t xml:space="preserve">Base para pavimentação com brita graduada, inclusive compactação </t>
  </si>
  <si>
    <t xml:space="preserve">Pintura de ligação com emulsão RR-2C </t>
  </si>
  <si>
    <t>Carga e descarga mecânica de solo utilizando caminhão basculante 6,0m3/16t e pá carregadeira sobre pneus 128 hp, capacidade da caçamba 1,7 a 2,8 m3, peso operacional 11632 kg</t>
  </si>
  <si>
    <t>A Realizar em ( x ) Mes(es)    (   ) Bimestre(s)    (   ) Trimestre(s)    (   ) Quadrimestre(s)    (   ) Semestre(s)</t>
  </si>
  <si>
    <t>90100 SINAPI</t>
  </si>
  <si>
    <t>Escavação mecanizada de vala com profundidade até 1,5 m (média entre montante e jusante/ uma composição por trecho), com retroescavadeira (capacidade da caçamba da retro: 0,26 m3 / potência: 88 hp), largura de 0,8 m a 1,5 m, em solo de 1a categoria, em locais com alto nível de interferência. Af_01/2015</t>
  </si>
  <si>
    <t xml:space="preserve">Placa de obra em chapa de aço galvanizado (sendo composta pelas seguintes dimensões    3m x 6m e 2m x 3m) </t>
  </si>
  <si>
    <t>Serviços preliminares</t>
  </si>
  <si>
    <t>Passadiços com tabuas de madeira para pedestres</t>
  </si>
  <si>
    <t>84126 SINAPI</t>
  </si>
  <si>
    <t>74219/001 SINAPI</t>
  </si>
  <si>
    <t>3.3</t>
  </si>
  <si>
    <t>3.4</t>
  </si>
  <si>
    <t>4.2</t>
  </si>
  <si>
    <t>7.4</t>
  </si>
  <si>
    <t>7.5</t>
  </si>
  <si>
    <t>7.6</t>
  </si>
  <si>
    <t>7.7</t>
  </si>
  <si>
    <t>9.1</t>
  </si>
  <si>
    <t>9.2</t>
  </si>
  <si>
    <t>9.3</t>
  </si>
  <si>
    <t>9.4</t>
  </si>
  <si>
    <t>9.5</t>
  </si>
  <si>
    <t>9.6</t>
  </si>
  <si>
    <t>9.7</t>
  </si>
  <si>
    <t>9.8</t>
  </si>
  <si>
    <t>Subtotal item 09</t>
  </si>
  <si>
    <t>Chapa de aço carbono 3/8 (coloc/ uso/ retir) p/ pass veiculo sobre vala medida p/ área chapa em cada aplicação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</si>
  <si>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</si>
  <si>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</si>
  <si>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</si>
  <si>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</si>
  <si>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</si>
  <si>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</si>
  <si>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</si>
  <si>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</si>
  <si>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</si>
  <si>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</si>
  <si>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Colarinho pta de PEAD DN 63mm PE100 SDR11</t>
  </si>
  <si>
    <t>Flange solto p/ colarinho DIN 63mm SDR11</t>
  </si>
  <si>
    <t>Luva PEAD EF DN 63mm SDR11</t>
  </si>
  <si>
    <t>Colarinho pta de PEAD DN 110mm PE100 SDR11</t>
  </si>
  <si>
    <t>Flange solto p/ colarinho DIN 110mm SDR11</t>
  </si>
  <si>
    <t>Luva PEAD EF DN 110mm SDR11</t>
  </si>
  <si>
    <t>Instalação de válvulas ou registros com junta flangeada - DN 50</t>
  </si>
  <si>
    <t>Instalação de válvulas ou registros com junta flangeada - DN 100</t>
  </si>
  <si>
    <t>Execução de tubo camisa de PVC para instalação de válvula e registros incluindo fornecimento e instalação de tampão de ferro fundido</t>
  </si>
  <si>
    <t>Reaterro manual de valas com compactação mecanizada. Af_04/2016</t>
  </si>
  <si>
    <t>93382 SINAPI</t>
  </si>
  <si>
    <t>Fabricação e aplicação de concreto betuminoso usinado a quente(cbuq), Cap 50/70, exclusive transporte</t>
  </si>
  <si>
    <t>8.14</t>
  </si>
  <si>
    <t>8.15</t>
  </si>
  <si>
    <t>8.16</t>
  </si>
  <si>
    <t>8.17</t>
  </si>
  <si>
    <t>8.18</t>
  </si>
  <si>
    <t>8.19</t>
  </si>
  <si>
    <t>Execução de solda em eletrofusão de luva de PEAD DN 110mm em tubo PEAD  DN 110mm</t>
  </si>
  <si>
    <t>Execução de solda em eletrofusão de luva de PEAD DN 63mm em tubo PEAD  DN 63mm</t>
  </si>
  <si>
    <t>Canteiro de Obras</t>
  </si>
  <si>
    <t>COMPOSIÇÃO 01</t>
  </si>
  <si>
    <t>COMPOSIÇÃO 02</t>
  </si>
  <si>
    <t>COMPOSIÇÃO 03</t>
  </si>
  <si>
    <t>COMPOSIÇÃO 04</t>
  </si>
  <si>
    <t>UNID.</t>
  </si>
  <si>
    <t>RUA DAS MANGABEIRAS</t>
  </si>
  <si>
    <t>RUA DOS INGÁS</t>
  </si>
  <si>
    <t>RUA DOS EUCALIPTOS</t>
  </si>
  <si>
    <t>RUA DOS COQUEIROS</t>
  </si>
  <si>
    <t>RUA DOS CAJUEIROS</t>
  </si>
  <si>
    <t>RUA DAS CASTANHEIRAS</t>
  </si>
  <si>
    <t>RUA TAIUVA</t>
  </si>
  <si>
    <t>RUA DOS ALECRINS</t>
  </si>
  <si>
    <t>RUA MANACÁ</t>
  </si>
  <si>
    <t>RUA DOS IPÊS</t>
  </si>
  <si>
    <t>RUA DAS PAINEIRAS</t>
  </si>
  <si>
    <t>RUA DAS PEROBAS</t>
  </si>
  <si>
    <t>RUA DAS IMBUIAS</t>
  </si>
  <si>
    <t>RUA CARNAUBA</t>
  </si>
  <si>
    <t>RUA DOS ANGICOS</t>
  </si>
  <si>
    <t>RUA DOS MOGNOS</t>
  </si>
  <si>
    <t>RUA FIGUEIRA</t>
  </si>
  <si>
    <t>RUA PAU BRASIL</t>
  </si>
  <si>
    <t>RUA SERINGUEIRA</t>
  </si>
  <si>
    <t>RUA ARAUCARIA</t>
  </si>
  <si>
    <t>RUA CAVIUNA</t>
  </si>
  <si>
    <t>RUA TAMBORIL</t>
  </si>
  <si>
    <t>RUA DOS JEQUITIBAS</t>
  </si>
  <si>
    <t>RUA MARFIM</t>
  </si>
  <si>
    <t>RUA GUARANTA</t>
  </si>
  <si>
    <t>RUA CANELÃ</t>
  </si>
  <si>
    <t>RUA CAMBARÁ</t>
  </si>
  <si>
    <t>RUA FLAMBOYANT</t>
  </si>
  <si>
    <t>ESTRADA SÃO GONÇALO</t>
  </si>
  <si>
    <t>5.2</t>
  </si>
  <si>
    <t>5.3</t>
  </si>
  <si>
    <t>Válvula gaveta ff cunha metalica revestido com elastometro com flanges/cabeçote DN 50mm PN10</t>
  </si>
  <si>
    <t>Válvula gaveta ff cunha metalica revestido com elastometro com flanges/cabeçote DN 100mm PN10</t>
  </si>
  <si>
    <t>Válvula gaveta ff cunha metalica revestido com elastometro com flanges/cabeçote DN 150mm PN10</t>
  </si>
  <si>
    <t>Colarinho pta de PEAD DN 160mm PE100 SDR11</t>
  </si>
  <si>
    <t>Flange solto p/ colarinho DIN 160mm SDR11</t>
  </si>
  <si>
    <t>Luva PEAD EF DN 160mm SDR11</t>
  </si>
  <si>
    <t>Instalação de válvulas ou registros com junta flangeada - DN 150</t>
  </si>
  <si>
    <t>QUANTITATIVO DE REDES - ATRAVÉS DO MESMO CAMINHAMENTO</t>
  </si>
  <si>
    <t>QUANTITATIVO DE REDES - ATRAVÉS DE PERFURAÇÃO DIRECIONAL</t>
  </si>
  <si>
    <t>ENGº ERIC ANTHONY PADELA - RESPONSÁVEL TÉCNICO</t>
  </si>
  <si>
    <t>CREA/ SP;  5061923291</t>
  </si>
  <si>
    <t>ENGº ERIC ANTHONY PADELA</t>
  </si>
  <si>
    <t>4.3</t>
  </si>
  <si>
    <t>4.4</t>
  </si>
  <si>
    <t>Substituição de rede de PVC DN 150 mm, por MND -método não destrutivo, através do mesmo caminhamento, pelo sistema "Pipecraking", incluindo fornecimento e instalação de tubo de polietileno de alta densidade PEAD DN 160 mm, classe de pressão PN-10 e suas respectivas conexões, mão de obra, máquinas e equipamentos para prestação do serviço, compreende também o fornecimento, a instalação e a retirada de tubulação aérea provisória de abastecimento domiciliar (By-Pass) e de chapa de aço carbono/passadiços de madeira para fechamento provisório de valas abertas</t>
  </si>
  <si>
    <t>Substituição de rede de PVC DN 100 mm, por MND -método não destrutivo, através do mesmo caminhamento, pelo sistema "Pipecraking", incluindo fornecimento e instalação de tubo de polietileno de alta densidade PEAD DN 110 mm, classe de pressão PN-10 e suas respectivas conexões, mão de obra, máquinas e equipamentos para prestação do serviço, compreende também o fornecimento, a instalação e a retirada de tubulação aérea provisória de abastecimento domiciliar (By-Pass) e de chapa de aço carbono/passadiços de madeira para fechamento provisório de valas abertas</t>
  </si>
  <si>
    <t>Instalação de rede de água de Polietileno de Alta Densidade (PEAD) DN 63 mm, por MND - método não destrutivo, através do sistema de perfuração direcional, incluindo fornecimento de tubo de Polietileno de Alta Densidade (PEAD) DN 63 mm, classe de pressão PN-10 e suas respectivas conexões, mão de obra, máquinas e equipamentos para prestação do serviço, compreende também o fornecimento, a instalação e a retirada de tubulação aérea provisória de abastecimento domiciliar (By-Pass) e de chapa de aço carbono/passadiços de madeira para fechamento provisório de valas abertas</t>
  </si>
  <si>
    <t>Substituição de rede de PVC DN 50 mm, por MND -método não destrutivo, através do mesmo caminhamento, pelo sistema "Pipecraking", incluindo fornecimento e instalação de tubo de polietileno de alta densidade PEAD DN 63 mm, classe de pressão PN-10 e suas respectivas conexões, mão de obra, máquinas e equipamentos para prestação do serviço, compreende também o fornecimento, a instalação e a retirada de tubulação aérea provisória de abastecimento domiciliar (By-Pass) e de chapa de aço carbono/passadiços de madeira para fechamento provisório de valas abertas</t>
  </si>
  <si>
    <t>Execução de ligação domiciliar de água, por MND - método não destrutivo, incluindo fornecimento de tubo de de PEAD de 20mm e tê de serviço de diâmetro nominal 110mmx20mm, sem reposição de pavimento</t>
  </si>
  <si>
    <t>Execução de ligação domiciliar de água, por MND - método não destrutivo, incluindo fornecimento de tubo de de PEAD de 20mm e tê de serviço de diâmetro nominal 63mmx20mm, sem reposição de pavimento</t>
  </si>
  <si>
    <t>Execução de ligação domiciliar de água, por MND - método não destrutivo, incluindo fornecimento de tubo de de PEAD de 20mm e tê de serviço de diâmetro nominal 160mmx20mm, sem reposição de pavimento</t>
  </si>
  <si>
    <t>Cadastro de ligações prediais, inclusive desenhista</t>
  </si>
  <si>
    <t>73677 SINAPI</t>
  </si>
  <si>
    <t>COTAÇÃO 15</t>
  </si>
  <si>
    <t>COTAÇÃO 16</t>
  </si>
  <si>
    <t>COTAÇÃO 17</t>
  </si>
  <si>
    <t>COTAÇÃO 18</t>
  </si>
  <si>
    <t>COTAÇÃO 19</t>
  </si>
  <si>
    <t>COTAÇÃO 20</t>
  </si>
  <si>
    <t>COTAÇÃO 21</t>
  </si>
  <si>
    <t>COTAÇÃO 22</t>
  </si>
  <si>
    <t>COTAÇÃO 23</t>
  </si>
  <si>
    <t>COTAÇÃO 24</t>
  </si>
  <si>
    <t>COTAÇÃO 25</t>
  </si>
  <si>
    <t>95302 SINAPI</t>
  </si>
  <si>
    <t>Transporte com caminhão basculante 6 m3 em rodovia pavimentada (para distâncias superiores a 4Km)</t>
  </si>
  <si>
    <t>6081 SINAPI</t>
  </si>
  <si>
    <t>Execução de solda em eletrofusão de luva de PEAD DN 160mm em tubo PEAD  DN 160mm</t>
  </si>
  <si>
    <t>COMPOSIÇÃO 06</t>
  </si>
  <si>
    <t>COTAÇÃO 01</t>
  </si>
  <si>
    <t>COTAÇÃO 03</t>
  </si>
  <si>
    <t>COTAÇÃO 04</t>
  </si>
  <si>
    <t>COTAÇÃO 02</t>
  </si>
  <si>
    <t>73884/001 SINAPI</t>
  </si>
  <si>
    <t>73884/003 SINAPI</t>
  </si>
  <si>
    <t>73884/004 SINAPI</t>
  </si>
  <si>
    <t>COTAÇÃO 05</t>
  </si>
  <si>
    <t>COTAÇÃO 06</t>
  </si>
  <si>
    <t>COTAÇÃO 07</t>
  </si>
  <si>
    <t>COTAÇÃO 08</t>
  </si>
  <si>
    <t>COTAÇÃO 09</t>
  </si>
  <si>
    <t>COTAÇÃO 10</t>
  </si>
  <si>
    <t>COTAÇÃO 11</t>
  </si>
  <si>
    <t>COTAÇÃO 12</t>
  </si>
  <si>
    <t>72961 SINAPI</t>
  </si>
  <si>
    <t>95303 SINAPI</t>
  </si>
  <si>
    <t>Transporte com caminhão basculante 10m³ de massa asfáltica para pavimentação urbana</t>
  </si>
  <si>
    <t xml:space="preserve">Piso em pedra portuguesa assentado sobre base de areia, rejuntado com cimento comum
</t>
  </si>
  <si>
    <t>84183 SINAPI</t>
  </si>
  <si>
    <t>94990 SINAPI</t>
  </si>
  <si>
    <t xml:space="preserve">Execução de passeio (calçada) ou piso de concreto com concreto moldado in loco,  feito em obra, acabamento convencional, não armado. AF_07/2016
</t>
  </si>
  <si>
    <t>10.1</t>
  </si>
  <si>
    <t>10.2</t>
  </si>
  <si>
    <t>10.3</t>
  </si>
  <si>
    <t>10.4</t>
  </si>
  <si>
    <t>10.5</t>
  </si>
  <si>
    <t>10.6</t>
  </si>
  <si>
    <t>10.7</t>
  </si>
  <si>
    <t>10.8</t>
  </si>
  <si>
    <t>Subtotal item 10</t>
  </si>
  <si>
    <t>Execução de caixa de abrigo para medidor de vazão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</si>
  <si>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</si>
  <si>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</si>
  <si>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</si>
  <si>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</si>
  <si>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</si>
  <si>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</si>
  <si>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</si>
  <si>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</si>
  <si>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</si>
  <si>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</si>
  <si>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</si>
  <si>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</si>
  <si>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</si>
  <si>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</si>
  <si>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</si>
  <si>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Fornecimento e instalação de medidor de vazão</t>
  </si>
  <si>
    <t>Subtotal item 11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</si>
  <si>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</si>
  <si>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</si>
  <si>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</si>
  <si>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</si>
  <si>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</si>
  <si>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</si>
  <si>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</si>
  <si>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</si>
  <si>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</si>
  <si>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</si>
  <si>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</si>
  <si>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</si>
  <si>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</si>
  <si>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</si>
  <si>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</si>
  <si>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</si>
  <si>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</si>
  <si>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52810 SABESP</t>
  </si>
  <si>
    <t>Tê FoFo com flanges - PN10/16 - DN= 150 X 150 mm</t>
  </si>
  <si>
    <t>53839 SABESP</t>
  </si>
  <si>
    <t>Toco FoFo com Flanges - PN10/16 - DN= 150 mm L= 500mm</t>
  </si>
  <si>
    <t>31294 SABESP</t>
  </si>
  <si>
    <t>Filtro Y FoFo com flanges - PN10 - DN= 150 mm</t>
  </si>
  <si>
    <t xml:space="preserve">54124 SABESP </t>
  </si>
  <si>
    <t>Tubo FoFo com Flanges - PN10/16 - DN= 150 mm L= 1500mm</t>
  </si>
  <si>
    <t>Medidor de vazão eletromagnético; diametro nominal 6" (150mm); com conexões Flange DIN; tipo de eletrodo fixo em aço inox 316; display digital contendo vazão instantânea/ vazão total/ taxa de range de medição; incerteza de medição de +-0,5%; sinal de saída com corrente 4-20mA, pulso e frequência; transmissão via GPRS, proteção IP68</t>
  </si>
  <si>
    <t>COTAÇÃO 26</t>
  </si>
  <si>
    <t>COTAÇÃO 27</t>
  </si>
  <si>
    <t>53804 SABESP</t>
  </si>
  <si>
    <t>Toco FoFo com Flanges - PN10/16 - DN= 150 mm L= 250mm</t>
  </si>
  <si>
    <t>50855 SABESP</t>
  </si>
  <si>
    <t>Tubo com flanges - Linha Natural L = 750mm -    DN 150mm, PN 10</t>
  </si>
  <si>
    <t>Tubo FoFo com Flanges - PN10/16 - DN= 150 mm L= 3000mm</t>
  </si>
  <si>
    <t>Curva FoFo com Flange PN10/16 - 90º -           DN= 150 mm</t>
  </si>
  <si>
    <t>Tubo com flanges - Linha Natural L = 3740mm -    DN 150mm, PN 10</t>
  </si>
  <si>
    <t>54127 SABESP</t>
  </si>
  <si>
    <t>11.13.1</t>
  </si>
  <si>
    <t>11.13.2</t>
  </si>
  <si>
    <t>COTAÇÃO 28</t>
  </si>
  <si>
    <t>Junta de desmontagem travada axialmente -      DN 150mm, PN 10</t>
  </si>
  <si>
    <t>480201 SABESP</t>
  </si>
  <si>
    <t xml:space="preserve">Definição e demarcação da área de reparo com disco de corte </t>
  </si>
  <si>
    <t>92970 SINAPI</t>
  </si>
  <si>
    <t>Demolição de pavimentação asfáltica com utilização de martelo perfurador, espessura até 15cm, exclusive carga e transporte</t>
  </si>
  <si>
    <t>72898 SINAPI</t>
  </si>
  <si>
    <t>Carga e descarga mecanica de entulho em caminhão basculante 6 m³</t>
  </si>
  <si>
    <t>72900 SINAPI</t>
  </si>
  <si>
    <t>Transporte de entulho com caminhão basculante de 6 m³, rodovia pavimentada, DMT 0,5 a 1,0 Km</t>
  </si>
  <si>
    <t>90082 SINAPI</t>
  </si>
  <si>
    <t>Escavação mecânica de valas com prof. até 1,50m (média entre montante e jusante / uma composição por trecho), com c/ escavadeira hidráulica (0,8m³ / 111 HP), largura de 1,5 m à 2,5 m, em solo de 1ª categoria, em locais com alto nível de interferência</t>
  </si>
  <si>
    <t>89453 SINAPI</t>
  </si>
  <si>
    <t>Alvenaria de blocos de concreto estrutual 14x19x39 cm (espessura 14 cm), FBK= 4,5MPA para paredes com área líquida menor de 6m², sem vãos, utilizando palheta. AF_12/2014</t>
  </si>
  <si>
    <t>87369 SINAPI</t>
  </si>
  <si>
    <t>Argamassa traço 1:2:8 (cimento, cal e areia média) para emboço/massa única/assentamento de alvenaria de vedação, preparo manual. AF_06/2014</t>
  </si>
  <si>
    <t>5968 SINAPI</t>
  </si>
  <si>
    <t>Impermeabilização de superficie com argamassa de cimento e area (média), traço 1:3, com aditivo impermeabilizante, e=2cm</t>
  </si>
  <si>
    <t>74074/004 SINAPI</t>
  </si>
  <si>
    <t>Forma tabua para concreto em fundação sem reaproveitamento</t>
  </si>
  <si>
    <t>92761 SINAPI</t>
  </si>
  <si>
    <t xml:space="preserve">Armação de pilar ou viga de uma estrutura convencional de concreto armado em um edifício de múltiplos pavimentos utilizando aço ca-50 de 8.0 mm - montagem. </t>
  </si>
  <si>
    <t>Kg</t>
  </si>
  <si>
    <t>92763 SINAPI</t>
  </si>
  <si>
    <t>Armação de pilar ou viga de uma estrutura convencional de concreto armado em um edifício de múltiplos pavimentos utilizando aço ca-50 de 12.5 mm - montagem.</t>
  </si>
  <si>
    <t>90278 SINAPI</t>
  </si>
  <si>
    <t>Transporte com caminhão basculante 6m³ em rodovia pavimentada, DMT 800 a 1000m</t>
  </si>
  <si>
    <t>95301 SINAPI</t>
  </si>
  <si>
    <t>94099 SINAPI</t>
  </si>
  <si>
    <t>Preparo de fundo de vala com largura maior ou igual a 1,5 m e menor que 2,5 m, em local com nível baixo de interferência.</t>
  </si>
  <si>
    <t>94116 SINAPI</t>
  </si>
  <si>
    <t>Lastro com preparo de fundo, largura maior ou igual a 1,5 m, com camada de brita, lançamento mecanizado, em local com nível baixo de interferência.</t>
  </si>
  <si>
    <t>73806/001 SINAPI</t>
  </si>
  <si>
    <t>Limpeza de Superficie com jato de alta pressão de ar e água</t>
  </si>
  <si>
    <t>72958 SINAPI</t>
  </si>
  <si>
    <t>Tratamento superficial duplo - TSD, com emulsão RR-2C</t>
  </si>
  <si>
    <t>72945 SINAPI</t>
  </si>
  <si>
    <t>Imprimação de base de pavimentação com ADP CM-30</t>
  </si>
  <si>
    <t>100405 SABESP</t>
  </si>
  <si>
    <t>Aplicação do Binder (e=2cm)</t>
  </si>
  <si>
    <t>ADEQUAÇÃO DE SETORIZAÇÃO COM MEDIÇÃO DE VAZÃO E SUBSTITUIÇÃO/IMPLANTAÇÃO DE REDE DE DISTRIBUIÇÃO DE ÁGUA TRATADA E DE LIGAÇÕES DOMICILIARES DO “SETOR 17 - JARDIM CAPUAVA”, NO MUNICÍPIO DE NOVA ODESSA</t>
  </si>
  <si>
    <t>* Obs: Nos custos com base na planilha SINAPI e SABESP (convertidos) foram inclusos 32,71% de BDI para serviços e 22,45% de BDI para equipamentos, conforme preve o acórdão nº 2622/2013 - TCU - Plenário</t>
  </si>
  <si>
    <t>Canteiro de obras</t>
  </si>
  <si>
    <t>REPASSE</t>
  </si>
  <si>
    <t>10.24</t>
  </si>
  <si>
    <t>21090 SINAPI</t>
  </si>
  <si>
    <t>Tampão fofo articulado, classe D400 carga máx. 40 T, redondo tampa *600 MM, rede pluvial/esgoto</t>
  </si>
  <si>
    <t>data base : SINAPI desonerado janeiro/2017, SABESP Janeiro/2016</t>
  </si>
  <si>
    <t>73682 SINAPI</t>
  </si>
  <si>
    <t xml:space="preserve">Cadastro de redes, inclusive desenhista
</t>
  </si>
  <si>
    <t>Graute FGK=15 MPA; traço 1:0,04:2,0:2,4 (cimento/ cal/ areia grossa/ brita 0) - preparo mecânico com betoneira   400 l</t>
  </si>
  <si>
    <r>
      <t>S</t>
    </r>
    <r>
      <rPr>
        <sz val="12"/>
        <color indexed="8"/>
        <rFont val="Arial"/>
        <family val="2"/>
      </rPr>
      <t>INAPI  DESONERADO 01/01/2017 e                                                                   SABESP Janeiro/2016</t>
    </r>
  </si>
  <si>
    <t>MEMORIAL DE CÁLCULO -                                                      SETOR 17 (JD. ALVORADA E JD. CAPUAVA)</t>
  </si>
  <si>
    <t>ANEXO XIV - PLANILHA DE ORÇAMENTÁRIA</t>
  </si>
  <si>
    <t>ANEXO XV - CRONOGRAMA FÍSICO - FINANCEIRO</t>
  </si>
  <si>
    <t xml:space="preserve">CPF: </t>
  </si>
  <si>
    <t xml:space="preserve">RG: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</si>
</sst>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7" formatCode="_(* #,##0.00_);_(* \(#,##0.00\);_(* &quot;-&quot;??_);_(@_)"/>
    <numFmt numFmtId="189" formatCode="_(&quot;Cr$&quot;* #,##0.00_);_(&quot;Cr$&quot;* \(#,##0.00\);_(&quot;Cr$&quot;* &quot;-&quot;??_);_(@_)"/>
    <numFmt numFmtId="193" formatCode="#,##0.000_);\(#,##0.000\)"/>
    <numFmt numFmtId="194" formatCode="dd\-mmm\-yy"/>
    <numFmt numFmtId="214" formatCode="0.000000"/>
    <numFmt numFmtId="215" formatCode="0.0000000"/>
    <numFmt numFmtId="217" formatCode="#,##0.00_);\(#,##0.00\)"/>
  </numFmts>
  <fonts count="40" x14ac:knownFonts="1">
    <font>
      <sz val="10"/>
      <name val="Arial"/>
    </font>
    <font>
      <sz val="10"/>
      <name val="Arial"/>
    </font>
    <font>
      <sz val="10"/>
      <color indexed="56"/>
      <name val="Verdana"/>
      <family val="2"/>
    </font>
    <font>
      <b/>
      <sz val="10"/>
      <color indexed="56"/>
      <name val="Verdana"/>
      <family val="2"/>
    </font>
    <font>
      <b/>
      <sz val="11"/>
      <color indexed="56"/>
      <name val="Verdana"/>
      <family val="2"/>
    </font>
    <font>
      <b/>
      <sz val="9"/>
      <color indexed="56"/>
      <name val="Verdana"/>
      <family val="2"/>
    </font>
    <font>
      <sz val="11"/>
      <color indexed="56"/>
      <name val="Verdana"/>
      <family val="2"/>
    </font>
    <font>
      <b/>
      <i/>
      <sz val="11"/>
      <color indexed="56"/>
      <name val="Verdana"/>
      <family val="2"/>
    </font>
    <font>
      <b/>
      <sz val="14"/>
      <color indexed="56"/>
      <name val="Verdana"/>
      <family val="2"/>
    </font>
    <font>
      <sz val="10"/>
      <color indexed="10"/>
      <name val="Verdana"/>
      <family val="2"/>
    </font>
    <font>
      <sz val="10"/>
      <name val="Arial"/>
      <family val="2"/>
    </font>
    <font>
      <b/>
      <sz val="8"/>
      <color indexed="56"/>
      <name val="Verdana"/>
      <family val="2"/>
    </font>
    <font>
      <b/>
      <sz val="11"/>
      <color indexed="10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vertAlign val="superscript"/>
      <sz val="14"/>
      <color indexed="8"/>
      <name val="Arial"/>
      <family val="2"/>
    </font>
    <font>
      <sz val="10"/>
      <color indexed="8"/>
      <name val="Arial"/>
      <family val="2"/>
    </font>
    <font>
      <b/>
      <i/>
      <sz val="12"/>
      <color indexed="10"/>
      <name val="Verdana"/>
      <family val="2"/>
    </font>
    <font>
      <sz val="12"/>
      <color indexed="56"/>
      <name val="Verdana"/>
      <family val="2"/>
    </font>
    <font>
      <sz val="14"/>
      <color indexed="56"/>
      <name val="Verdana"/>
      <family val="2"/>
    </font>
    <font>
      <sz val="10"/>
      <color indexed="56"/>
      <name val="Arial"/>
      <family val="2"/>
    </font>
    <font>
      <b/>
      <sz val="12"/>
      <color indexed="56"/>
      <name val="Verdana"/>
      <family val="2"/>
    </font>
    <font>
      <sz val="20"/>
      <color indexed="56"/>
      <name val="Verdana"/>
      <family val="2"/>
    </font>
    <font>
      <b/>
      <sz val="20"/>
      <color indexed="56"/>
      <name val="Verdana"/>
      <family val="2"/>
    </font>
    <font>
      <b/>
      <sz val="16"/>
      <color indexed="56"/>
      <name val="Verdana"/>
      <family val="2"/>
    </font>
    <font>
      <sz val="16"/>
      <color indexed="56"/>
      <name val="Verdana"/>
      <family val="2"/>
    </font>
    <font>
      <b/>
      <sz val="16"/>
      <color indexed="10"/>
      <name val="Verdana"/>
      <family val="2"/>
    </font>
    <font>
      <b/>
      <sz val="12"/>
      <color indexed="10"/>
      <name val="Verdana"/>
      <family val="2"/>
    </font>
    <font>
      <sz val="12"/>
      <color indexed="10"/>
      <name val="Verdana"/>
      <family val="2"/>
    </font>
    <font>
      <sz val="13"/>
      <color indexed="56"/>
      <name val="Verdana"/>
      <family val="2"/>
    </font>
    <font>
      <sz val="12"/>
      <name val="Verdana"/>
      <family val="2"/>
    </font>
    <font>
      <sz val="12"/>
      <color indexed="8"/>
      <name val="Arial"/>
      <family val="2"/>
    </font>
    <font>
      <b/>
      <sz val="18"/>
      <color indexed="56"/>
      <name val="Verdana"/>
      <family val="2"/>
    </font>
    <font>
      <sz val="11"/>
      <color indexed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119">
    <border>
      <left/>
      <right/>
      <top/>
      <bottom/>
      <diagonal/>
    </border>
    <border>
      <left style="medium">
        <color indexed="56"/>
      </left>
      <right style="medium">
        <color indexed="56"/>
      </right>
      <top/>
      <bottom style="thin">
        <color indexed="56"/>
      </bottom>
      <diagonal/>
    </border>
    <border>
      <left style="medium">
        <color indexed="56"/>
      </left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 style="medium">
        <color indexed="56"/>
      </right>
      <top style="thin">
        <color indexed="56"/>
      </top>
      <bottom/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medium">
        <color indexed="56"/>
      </bottom>
      <diagonal/>
    </border>
    <border>
      <left/>
      <right style="thin">
        <color indexed="56"/>
      </right>
      <top style="medium">
        <color indexed="56"/>
      </top>
      <bottom style="thick">
        <color indexed="56"/>
      </bottom>
      <diagonal/>
    </border>
    <border>
      <left style="thin">
        <color indexed="56"/>
      </left>
      <right/>
      <top/>
      <bottom/>
      <diagonal/>
    </border>
    <border>
      <left/>
      <right/>
      <top style="medium">
        <color indexed="56"/>
      </top>
      <bottom style="medium">
        <color indexed="56"/>
      </bottom>
      <diagonal/>
    </border>
    <border>
      <left style="thin">
        <color indexed="56"/>
      </left>
      <right/>
      <top style="medium">
        <color indexed="56"/>
      </top>
      <bottom/>
      <diagonal/>
    </border>
    <border>
      <left style="thin">
        <color indexed="56"/>
      </left>
      <right/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thin">
        <color indexed="56"/>
      </right>
      <top/>
      <bottom style="thin">
        <color indexed="56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56"/>
      </left>
      <right/>
      <top/>
      <bottom/>
      <diagonal/>
    </border>
    <border>
      <left style="medium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/>
      <top style="medium">
        <color indexed="8"/>
      </top>
      <bottom/>
      <diagonal/>
    </border>
    <border>
      <left style="medium">
        <color indexed="56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/>
      <diagonal/>
    </border>
    <border>
      <left style="medium">
        <color indexed="56"/>
      </left>
      <right style="medium">
        <color indexed="56"/>
      </right>
      <top style="medium">
        <color indexed="56"/>
      </top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medium">
        <color indexed="56"/>
      </right>
      <top/>
      <bottom style="medium">
        <color indexed="56"/>
      </bottom>
      <diagonal/>
    </border>
    <border>
      <left/>
      <right style="medium">
        <color indexed="56"/>
      </right>
      <top/>
      <bottom style="medium">
        <color indexed="56"/>
      </bottom>
      <diagonal/>
    </border>
    <border>
      <left style="medium">
        <color indexed="56"/>
      </left>
      <right style="medium">
        <color indexed="56"/>
      </right>
      <top/>
      <bottom/>
      <diagonal/>
    </border>
    <border>
      <left/>
      <right/>
      <top style="medium">
        <color indexed="56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56"/>
      </right>
      <top/>
      <bottom/>
      <diagonal/>
    </border>
    <border>
      <left/>
      <right style="thick">
        <color indexed="56"/>
      </right>
      <top/>
      <bottom style="medium">
        <color indexed="56"/>
      </bottom>
      <diagonal/>
    </border>
    <border>
      <left style="medium">
        <color indexed="56"/>
      </left>
      <right/>
      <top style="medium">
        <color indexed="56"/>
      </top>
      <bottom style="thin">
        <color indexed="56"/>
      </bottom>
      <diagonal/>
    </border>
    <border>
      <left/>
      <right/>
      <top style="medium">
        <color indexed="56"/>
      </top>
      <bottom style="thin">
        <color indexed="56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/>
      <right/>
      <top style="thick">
        <color indexed="56"/>
      </top>
      <bottom/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thin">
        <color indexed="56"/>
      </bottom>
      <diagonal/>
    </border>
    <border>
      <left style="medium">
        <color indexed="56"/>
      </left>
      <right style="medium">
        <color indexed="56"/>
      </right>
      <top style="thin">
        <color indexed="56"/>
      </top>
      <bottom style="medium">
        <color indexed="56"/>
      </bottom>
      <diagonal/>
    </border>
    <border>
      <left style="thick">
        <color indexed="56"/>
      </left>
      <right/>
      <top style="thick">
        <color indexed="56"/>
      </top>
      <bottom style="medium">
        <color indexed="56"/>
      </bottom>
      <diagonal/>
    </border>
    <border>
      <left/>
      <right/>
      <top style="thick">
        <color indexed="56"/>
      </top>
      <bottom style="medium">
        <color indexed="56"/>
      </bottom>
      <diagonal/>
    </border>
    <border>
      <left/>
      <right style="thick">
        <color indexed="56"/>
      </right>
      <top style="thick">
        <color indexed="56"/>
      </top>
      <bottom style="medium">
        <color indexed="56"/>
      </bottom>
      <diagonal/>
    </border>
    <border>
      <left style="thin">
        <color indexed="56"/>
      </left>
      <right/>
      <top style="thin">
        <color indexed="56"/>
      </top>
      <bottom style="medium">
        <color indexed="56"/>
      </bottom>
      <diagonal/>
    </border>
    <border>
      <left/>
      <right/>
      <top style="thin">
        <color indexed="56"/>
      </top>
      <bottom style="medium">
        <color indexed="56"/>
      </bottom>
      <diagonal/>
    </border>
    <border>
      <left/>
      <right style="medium">
        <color indexed="56"/>
      </right>
      <top style="thin">
        <color indexed="56"/>
      </top>
      <bottom style="medium">
        <color indexed="56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56"/>
      </left>
      <right style="medium">
        <color indexed="56"/>
      </right>
      <top/>
      <bottom style="thin">
        <color indexed="8"/>
      </bottom>
      <diagonal/>
    </border>
    <border>
      <left style="medium">
        <color indexed="56"/>
      </left>
      <right style="medium">
        <color indexed="56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thin">
        <color indexed="38"/>
      </bottom>
      <diagonal/>
    </border>
    <border>
      <left style="medium">
        <color indexed="56"/>
      </left>
      <right style="medium">
        <color indexed="56"/>
      </right>
      <top style="thin">
        <color indexed="38"/>
      </top>
      <bottom style="medium">
        <color indexed="56"/>
      </bottom>
      <diagonal/>
    </border>
    <border>
      <left style="thin">
        <color indexed="56"/>
      </left>
      <right/>
      <top style="thick">
        <color indexed="56"/>
      </top>
      <bottom style="thin">
        <color indexed="56"/>
      </bottom>
      <diagonal/>
    </border>
    <border>
      <left/>
      <right/>
      <top style="thick">
        <color indexed="56"/>
      </top>
      <bottom style="thin">
        <color indexed="56"/>
      </bottom>
      <diagonal/>
    </border>
    <border>
      <left style="thin">
        <color indexed="56"/>
      </left>
      <right/>
      <top style="medium">
        <color indexed="56"/>
      </top>
      <bottom style="thin">
        <color indexed="56"/>
      </bottom>
      <diagonal/>
    </border>
    <border>
      <left/>
      <right style="medium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medium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medium">
        <color indexed="56"/>
      </bottom>
      <diagonal/>
    </border>
    <border>
      <left style="medium">
        <color indexed="56"/>
      </left>
      <right style="medium">
        <color indexed="56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56"/>
      </left>
      <right style="medium">
        <color indexed="56"/>
      </right>
      <top style="thin">
        <color indexed="8"/>
      </top>
      <bottom style="medium">
        <color indexed="56"/>
      </bottom>
      <diagonal/>
    </border>
    <border>
      <left style="medium">
        <color indexed="56"/>
      </left>
      <right style="thick">
        <color indexed="8"/>
      </right>
      <top style="medium">
        <color indexed="56"/>
      </top>
      <bottom style="medium">
        <color indexed="56"/>
      </bottom>
      <diagonal/>
    </border>
    <border>
      <left style="thick">
        <color indexed="8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thick">
        <color indexed="8"/>
      </right>
      <top style="medium">
        <color indexed="56"/>
      </top>
      <bottom/>
      <diagonal/>
    </border>
    <border>
      <left style="thick">
        <color indexed="8"/>
      </left>
      <right style="medium">
        <color indexed="56"/>
      </right>
      <top style="medium">
        <color indexed="56"/>
      </top>
      <bottom/>
      <diagonal/>
    </border>
    <border>
      <left style="medium">
        <color indexed="56"/>
      </left>
      <right/>
      <top style="medium">
        <color indexed="56"/>
      </top>
      <bottom style="medium">
        <color indexed="64"/>
      </bottom>
      <diagonal/>
    </border>
    <border>
      <left/>
      <right/>
      <top style="medium">
        <color indexed="56"/>
      </top>
      <bottom style="medium">
        <color indexed="64"/>
      </bottom>
      <diagonal/>
    </border>
    <border>
      <left style="medium">
        <color indexed="56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medium">
        <color indexed="56"/>
      </right>
      <top style="thin">
        <color indexed="56"/>
      </top>
      <bottom/>
      <diagonal/>
    </border>
    <border>
      <left style="medium">
        <color indexed="56"/>
      </left>
      <right/>
      <top/>
      <bottom style="thin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 style="medium">
        <color indexed="56"/>
      </right>
      <top/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 style="medium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medium">
        <color indexed="56"/>
      </bottom>
      <diagonal/>
    </border>
  </borders>
  <cellStyleXfs count="11">
    <xf numFmtId="0" fontId="0" fillId="0" borderId="0"/>
    <xf numFmtId="189" fontId="1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0" fillId="0" borderId="0" applyFont="0" applyFill="0" applyBorder="0" applyAlignment="0" applyProtection="0"/>
    <xf numFmtId="0" fontId="14" fillId="0" borderId="0"/>
    <xf numFmtId="0" fontId="22" fillId="0" borderId="0" applyProtection="0"/>
    <xf numFmtId="0" fontId="10" fillId="0" borderId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</cellStyleXfs>
  <cellXfs count="418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NumberFormat="1" applyFont="1" applyFill="1" applyBorder="1" applyAlignment="1"/>
    <xf numFmtId="0" fontId="3" fillId="0" borderId="0" xfId="0" applyFont="1"/>
    <xf numFmtId="0" fontId="5" fillId="0" borderId="0" xfId="0" applyNumberFormat="1" applyFont="1" applyFill="1" applyBorder="1" applyAlignment="1" applyProtection="1">
      <protection locked="0" hidden="1"/>
    </xf>
    <xf numFmtId="0" fontId="4" fillId="0" borderId="0" xfId="0" applyFont="1"/>
    <xf numFmtId="2" fontId="6" fillId="0" borderId="0" xfId="0" applyNumberFormat="1" applyFont="1"/>
    <xf numFmtId="2" fontId="6" fillId="0" borderId="0" xfId="0" applyNumberFormat="1" applyFont="1" applyBorder="1"/>
    <xf numFmtId="2" fontId="2" fillId="0" borderId="0" xfId="0" applyNumberFormat="1" applyFont="1"/>
    <xf numFmtId="0" fontId="2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177" fontId="6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/>
    <xf numFmtId="4" fontId="6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0" fontId="4" fillId="0" borderId="2" xfId="0" applyNumberFormat="1" applyFont="1" applyFill="1" applyBorder="1" applyAlignment="1">
      <alignment horizontal="center"/>
    </xf>
    <xf numFmtId="177" fontId="6" fillId="0" borderId="2" xfId="0" applyNumberFormat="1" applyFont="1" applyFill="1" applyBorder="1" applyAlignment="1">
      <alignment wrapText="1"/>
    </xf>
    <xf numFmtId="4" fontId="6" fillId="0" borderId="2" xfId="0" applyNumberFormat="1" applyFont="1" applyFill="1" applyBorder="1" applyAlignment="1"/>
    <xf numFmtId="0" fontId="6" fillId="0" borderId="2" xfId="0" applyNumberFormat="1" applyFont="1" applyFill="1" applyBorder="1" applyAlignment="1"/>
    <xf numFmtId="177" fontId="6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/>
    <xf numFmtId="0" fontId="4" fillId="0" borderId="3" xfId="0" applyNumberFormat="1" applyFont="1" applyFill="1" applyBorder="1" applyAlignment="1">
      <alignment horizontal="center"/>
    </xf>
    <xf numFmtId="177" fontId="6" fillId="0" borderId="3" xfId="0" applyNumberFormat="1" applyFont="1" applyFill="1" applyBorder="1" applyAlignment="1">
      <alignment wrapText="1"/>
    </xf>
    <xf numFmtId="0" fontId="6" fillId="0" borderId="3" xfId="0" applyNumberFormat="1" applyFont="1" applyFill="1" applyBorder="1" applyAlignment="1"/>
    <xf numFmtId="4" fontId="6" fillId="0" borderId="3" xfId="0" applyNumberFormat="1" applyFont="1" applyFill="1" applyBorder="1" applyAlignment="1"/>
    <xf numFmtId="4" fontId="4" fillId="0" borderId="4" xfId="0" applyNumberFormat="1" applyFont="1" applyFill="1" applyBorder="1" applyAlignment="1" applyProtection="1">
      <protection locked="0" hidden="1"/>
    </xf>
    <xf numFmtId="4" fontId="6" fillId="0" borderId="1" xfId="1" applyNumberFormat="1" applyFont="1" applyFill="1" applyBorder="1" applyAlignment="1"/>
    <xf numFmtId="0" fontId="9" fillId="0" borderId="0" xfId="0" applyFont="1"/>
    <xf numFmtId="0" fontId="4" fillId="0" borderId="0" xfId="0" applyFont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11" fillId="0" borderId="6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17" fontId="6" fillId="0" borderId="6" xfId="0" applyNumberFormat="1" applyFont="1" applyBorder="1" applyAlignment="1">
      <alignment horizontal="center" vertical="center"/>
    </xf>
    <xf numFmtId="0" fontId="2" fillId="0" borderId="9" xfId="0" applyFont="1" applyBorder="1"/>
    <xf numFmtId="17" fontId="6" fillId="0" borderId="9" xfId="0" applyNumberFormat="1" applyFont="1" applyBorder="1" applyAlignment="1">
      <alignment horizontal="center" vertical="center"/>
    </xf>
    <xf numFmtId="0" fontId="2" fillId="0" borderId="10" xfId="0" applyFont="1" applyBorder="1"/>
    <xf numFmtId="0" fontId="6" fillId="0" borderId="11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/>
    </xf>
    <xf numFmtId="0" fontId="6" fillId="0" borderId="9" xfId="0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wrapText="1"/>
    </xf>
    <xf numFmtId="177" fontId="6" fillId="0" borderId="2" xfId="0" applyNumberFormat="1" applyFont="1" applyFill="1" applyBorder="1" applyAlignment="1">
      <alignment horizont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justify" wrapText="1"/>
    </xf>
    <xf numFmtId="0" fontId="4" fillId="0" borderId="3" xfId="0" applyNumberFormat="1" applyFont="1" applyFill="1" applyBorder="1" applyAlignment="1">
      <alignment horizontal="center" wrapText="1"/>
    </xf>
    <xf numFmtId="177" fontId="4" fillId="0" borderId="1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justify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17" fillId="0" borderId="13" xfId="0" applyFont="1" applyBorder="1"/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8" fillId="0" borderId="17" xfId="0" applyFont="1" applyBorder="1"/>
    <xf numFmtId="0" fontId="18" fillId="0" borderId="18" xfId="0" applyFont="1" applyBorder="1" applyAlignment="1">
      <alignment horizontal="center" vertical="center" wrapText="1"/>
    </xf>
    <xf numFmtId="2" fontId="18" fillId="0" borderId="19" xfId="0" applyNumberFormat="1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/>
    <xf numFmtId="2" fontId="18" fillId="0" borderId="22" xfId="0" applyNumberFormat="1" applyFont="1" applyBorder="1" applyAlignment="1">
      <alignment horizontal="center" vertical="center" wrapText="1"/>
    </xf>
    <xf numFmtId="0" fontId="18" fillId="0" borderId="13" xfId="0" applyFont="1" applyBorder="1"/>
    <xf numFmtId="2" fontId="18" fillId="0" borderId="15" xfId="0" applyNumberFormat="1" applyFont="1" applyBorder="1" applyAlignment="1">
      <alignment horizontal="center" vertical="center" wrapText="1"/>
    </xf>
    <xf numFmtId="2" fontId="17" fillId="0" borderId="23" xfId="0" applyNumberFormat="1" applyFont="1" applyBorder="1" applyAlignment="1"/>
    <xf numFmtId="177" fontId="4" fillId="0" borderId="2" xfId="0" applyNumberFormat="1" applyFont="1" applyFill="1" applyBorder="1" applyAlignment="1">
      <alignment horizontal="right" vertical="center" wrapText="1"/>
    </xf>
    <xf numFmtId="4" fontId="4" fillId="0" borderId="1" xfId="1" applyNumberFormat="1" applyFont="1" applyFill="1" applyBorder="1" applyAlignment="1"/>
    <xf numFmtId="0" fontId="14" fillId="0" borderId="0" xfId="5" applyBorder="1"/>
    <xf numFmtId="177" fontId="14" fillId="0" borderId="0" xfId="9" applyFont="1" applyBorder="1"/>
    <xf numFmtId="0" fontId="19" fillId="2" borderId="24" xfId="5" applyFont="1" applyFill="1" applyBorder="1" applyAlignment="1">
      <alignment vertical="center"/>
    </xf>
    <xf numFmtId="2" fontId="19" fillId="2" borderId="24" xfId="5" applyNumberFormat="1" applyFont="1" applyFill="1" applyBorder="1" applyAlignment="1">
      <alignment vertical="center"/>
    </xf>
    <xf numFmtId="0" fontId="19" fillId="2" borderId="24" xfId="5" applyFont="1" applyFill="1" applyBorder="1" applyAlignment="1">
      <alignment vertical="center" wrapText="1"/>
    </xf>
    <xf numFmtId="0" fontId="19" fillId="2" borderId="24" xfId="5" applyFont="1" applyFill="1" applyBorder="1"/>
    <xf numFmtId="2" fontId="19" fillId="2" borderId="24" xfId="5" applyNumberFormat="1" applyFont="1" applyFill="1" applyBorder="1"/>
    <xf numFmtId="0" fontId="20" fillId="2" borderId="24" xfId="5" applyFont="1" applyFill="1" applyBorder="1"/>
    <xf numFmtId="4" fontId="20" fillId="2" borderId="24" xfId="5" applyNumberFormat="1" applyFont="1" applyFill="1" applyBorder="1"/>
    <xf numFmtId="0" fontId="20" fillId="2" borderId="24" xfId="5" applyFont="1" applyFill="1" applyBorder="1" applyAlignment="1">
      <alignment horizontal="left" vertical="center"/>
    </xf>
    <xf numFmtId="2" fontId="19" fillId="2" borderId="24" xfId="5" applyNumberFormat="1" applyFont="1" applyFill="1" applyBorder="1" applyAlignment="1">
      <alignment horizontal="right" vertical="center"/>
    </xf>
    <xf numFmtId="0" fontId="19" fillId="2" borderId="24" xfId="5" applyFont="1" applyFill="1" applyBorder="1" applyAlignment="1">
      <alignment horizontal="left" vertical="center" wrapText="1"/>
    </xf>
    <xf numFmtId="2" fontId="20" fillId="2" borderId="24" xfId="5" applyNumberFormat="1" applyFont="1" applyFill="1" applyBorder="1"/>
    <xf numFmtId="0" fontId="14" fillId="2" borderId="0" xfId="5" applyFill="1" applyBorder="1"/>
    <xf numFmtId="0" fontId="13" fillId="2" borderId="0" xfId="5" applyFont="1" applyFill="1" applyBorder="1" applyAlignment="1">
      <alignment horizontal="center"/>
    </xf>
    <xf numFmtId="0" fontId="19" fillId="2" borderId="0" xfId="5" applyFont="1" applyFill="1" applyBorder="1"/>
    <xf numFmtId="2" fontId="19" fillId="2" borderId="0" xfId="5" applyNumberFormat="1" applyFont="1" applyFill="1" applyBorder="1"/>
    <xf numFmtId="0" fontId="14" fillId="2" borderId="0" xfId="5" applyFill="1" applyBorder="1" applyAlignment="1"/>
    <xf numFmtId="0" fontId="20" fillId="2" borderId="0" xfId="5" applyFont="1" applyFill="1" applyBorder="1"/>
    <xf numFmtId="0" fontId="20" fillId="2" borderId="0" xfId="5" applyFont="1" applyFill="1" applyBorder="1" applyAlignment="1">
      <alignment horizontal="left" vertical="center"/>
    </xf>
    <xf numFmtId="3" fontId="14" fillId="2" borderId="0" xfId="5" applyNumberFormat="1" applyFill="1" applyBorder="1" applyAlignment="1">
      <alignment horizontal="center"/>
    </xf>
    <xf numFmtId="0" fontId="14" fillId="2" borderId="0" xfId="5" applyFont="1" applyFill="1" applyBorder="1"/>
    <xf numFmtId="3" fontId="14" fillId="2" borderId="0" xfId="5" applyNumberFormat="1" applyFont="1" applyFill="1" applyBorder="1" applyAlignment="1">
      <alignment horizontal="center"/>
    </xf>
    <xf numFmtId="2" fontId="20" fillId="2" borderId="0" xfId="5" applyNumberFormat="1" applyFont="1" applyFill="1" applyBorder="1"/>
    <xf numFmtId="0" fontId="14" fillId="2" borderId="0" xfId="5" applyFont="1" applyFill="1" applyBorder="1" applyAlignment="1">
      <alignment horizontal="center"/>
    </xf>
    <xf numFmtId="2" fontId="19" fillId="2" borderId="0" xfId="5" applyNumberFormat="1" applyFont="1" applyFill="1" applyBorder="1" applyAlignment="1">
      <alignment horizontal="right"/>
    </xf>
    <xf numFmtId="0" fontId="14" fillId="0" borderId="0" xfId="5" applyFont="1" applyFill="1" applyBorder="1" applyAlignment="1"/>
    <xf numFmtId="0" fontId="14" fillId="0" borderId="0" xfId="5" applyFill="1" applyBorder="1" applyAlignment="1"/>
    <xf numFmtId="0" fontId="19" fillId="0" borderId="0" xfId="5" applyFont="1" applyFill="1" applyBorder="1" applyAlignment="1"/>
    <xf numFmtId="0" fontId="14" fillId="2" borderId="0" xfId="5" applyFont="1" applyFill="1" applyBorder="1" applyAlignment="1"/>
    <xf numFmtId="0" fontId="19" fillId="3" borderId="25" xfId="5" applyFont="1" applyFill="1" applyBorder="1" applyAlignment="1"/>
    <xf numFmtId="0" fontId="14" fillId="2" borderId="0" xfId="5" applyFill="1" applyBorder="1" applyAlignment="1">
      <alignment wrapText="1"/>
    </xf>
    <xf numFmtId="0" fontId="14" fillId="0" borderId="0" xfId="5" applyBorder="1" applyAlignment="1">
      <alignment wrapText="1"/>
    </xf>
    <xf numFmtId="0" fontId="19" fillId="2" borderId="0" xfId="5" applyNumberFormat="1" applyFont="1" applyFill="1" applyBorder="1"/>
    <xf numFmtId="0" fontId="14" fillId="2" borderId="0" xfId="5" applyFill="1" applyBorder="1" applyAlignment="1">
      <alignment vertical="center"/>
    </xf>
    <xf numFmtId="0" fontId="14" fillId="0" borderId="0" xfId="5" applyBorder="1" applyAlignment="1">
      <alignment vertical="center"/>
    </xf>
    <xf numFmtId="2" fontId="14" fillId="0" borderId="0" xfId="5" applyNumberFormat="1" applyBorder="1"/>
    <xf numFmtId="0" fontId="19" fillId="3" borderId="26" xfId="5" applyFont="1" applyFill="1" applyBorder="1" applyAlignment="1"/>
    <xf numFmtId="0" fontId="19" fillId="3" borderId="27" xfId="5" applyFont="1" applyFill="1" applyBorder="1" applyAlignment="1"/>
    <xf numFmtId="177" fontId="14" fillId="0" borderId="0" xfId="9" applyFont="1" applyBorder="1" applyAlignment="1">
      <alignment wrapText="1"/>
    </xf>
    <xf numFmtId="177" fontId="14" fillId="0" borderId="0" xfId="9" applyFont="1" applyBorder="1" applyAlignment="1">
      <alignment vertical="center"/>
    </xf>
    <xf numFmtId="177" fontId="13" fillId="0" borderId="0" xfId="9" applyFont="1" applyBorder="1" applyAlignment="1"/>
    <xf numFmtId="0" fontId="13" fillId="0" borderId="0" xfId="5" applyFont="1" applyBorder="1" applyAlignment="1">
      <alignment horizontal="center"/>
    </xf>
    <xf numFmtId="177" fontId="14" fillId="0" borderId="0" xfId="9" applyFont="1" applyBorder="1" applyAlignment="1"/>
    <xf numFmtId="0" fontId="14" fillId="0" borderId="0" xfId="5" applyBorder="1" applyAlignment="1"/>
    <xf numFmtId="177" fontId="14" fillId="0" borderId="0" xfId="5" applyNumberFormat="1" applyBorder="1"/>
    <xf numFmtId="0" fontId="14" fillId="0" borderId="0" xfId="5" applyFont="1" applyBorder="1" applyAlignment="1"/>
    <xf numFmtId="2" fontId="4" fillId="0" borderId="0" xfId="0" applyNumberFormat="1" applyFont="1" applyBorder="1" applyAlignment="1">
      <alignment horizontal="center"/>
    </xf>
    <xf numFmtId="0" fontId="2" fillId="0" borderId="0" xfId="6" applyFont="1" applyBorder="1"/>
    <xf numFmtId="0" fontId="2" fillId="0" borderId="28" xfId="6" applyFont="1" applyBorder="1"/>
    <xf numFmtId="2" fontId="2" fillId="0" borderId="0" xfId="6" applyNumberFormat="1" applyFont="1" applyBorder="1"/>
    <xf numFmtId="0" fontId="3" fillId="0" borderId="0" xfId="6" applyFont="1" applyBorder="1"/>
    <xf numFmtId="2" fontId="6" fillId="0" borderId="0" xfId="6" applyNumberFormat="1" applyFont="1" applyBorder="1"/>
    <xf numFmtId="0" fontId="2" fillId="0" borderId="0" xfId="6" applyFont="1" applyFill="1" applyBorder="1"/>
    <xf numFmtId="2" fontId="24" fillId="0" borderId="0" xfId="6" applyNumberFormat="1" applyFont="1" applyBorder="1"/>
    <xf numFmtId="2" fontId="25" fillId="0" borderId="0" xfId="6" applyNumberFormat="1" applyFont="1" applyBorder="1" applyAlignment="1">
      <alignment shrinkToFit="1"/>
    </xf>
    <xf numFmtId="0" fontId="2" fillId="0" borderId="0" xfId="6" applyFont="1" applyBorder="1" applyAlignment="1"/>
    <xf numFmtId="0" fontId="24" fillId="0" borderId="0" xfId="6" applyFont="1" applyBorder="1"/>
    <xf numFmtId="0" fontId="25" fillId="0" borderId="0" xfId="6" applyFont="1" applyBorder="1"/>
    <xf numFmtId="39" fontId="8" fillId="0" borderId="29" xfId="6" applyNumberFormat="1" applyFont="1" applyFill="1" applyBorder="1" applyAlignment="1" applyProtection="1">
      <alignment horizontal="left" shrinkToFit="1"/>
      <protection locked="0"/>
    </xf>
    <xf numFmtId="39" fontId="8" fillId="0" borderId="30" xfId="6" applyNumberFormat="1" applyFont="1" applyFill="1" applyBorder="1" applyAlignment="1" applyProtection="1">
      <alignment horizontal="left" shrinkToFit="1"/>
      <protection locked="0"/>
    </xf>
    <xf numFmtId="0" fontId="8" fillId="0" borderId="30" xfId="6" applyFont="1" applyFill="1" applyBorder="1" applyAlignment="1" applyProtection="1">
      <alignment shrinkToFit="1"/>
      <protection locked="0"/>
    </xf>
    <xf numFmtId="39" fontId="30" fillId="0" borderId="31" xfId="6" applyNumberFormat="1" applyFont="1" applyFill="1" applyBorder="1" applyAlignment="1" applyProtection="1">
      <alignment horizontal="right" shrinkToFit="1"/>
      <protection locked="0"/>
    </xf>
    <xf numFmtId="39" fontId="30" fillId="0" borderId="0" xfId="6" applyNumberFormat="1" applyFont="1" applyFill="1" applyBorder="1" applyAlignment="1" applyProtection="1">
      <alignment horizontal="right" shrinkToFit="1"/>
      <protection locked="0"/>
    </xf>
    <xf numFmtId="39" fontId="30" fillId="0" borderId="0" xfId="6" applyNumberFormat="1" applyFont="1" applyFill="1" applyBorder="1" applyAlignment="1" applyProtection="1">
      <alignment shrinkToFit="1"/>
      <protection locked="0"/>
    </xf>
    <xf numFmtId="0" fontId="31" fillId="0" borderId="32" xfId="6" applyFont="1" applyFill="1" applyBorder="1" applyAlignment="1" applyProtection="1">
      <alignment shrinkToFit="1"/>
      <protection locked="0"/>
    </xf>
    <xf numFmtId="0" fontId="30" fillId="0" borderId="32" xfId="6" applyFont="1" applyFill="1" applyBorder="1" applyAlignment="1" applyProtection="1">
      <alignment shrinkToFit="1"/>
      <protection locked="0"/>
    </xf>
    <xf numFmtId="0" fontId="30" fillId="0" borderId="33" xfId="6" applyFont="1" applyFill="1" applyBorder="1" applyAlignment="1" applyProtection="1">
      <alignment shrinkToFit="1"/>
      <protection locked="0"/>
    </xf>
    <xf numFmtId="39" fontId="30" fillId="0" borderId="34" xfId="6" applyNumberFormat="1" applyFont="1" applyFill="1" applyBorder="1" applyAlignment="1" applyProtection="1">
      <alignment horizontal="right" shrinkToFit="1"/>
      <protection locked="0"/>
    </xf>
    <xf numFmtId="39" fontId="32" fillId="0" borderId="35" xfId="6" applyNumberFormat="1" applyFont="1" applyFill="1" applyBorder="1" applyAlignment="1" applyProtection="1">
      <alignment horizontal="right" shrinkToFit="1"/>
      <protection locked="0"/>
    </xf>
    <xf numFmtId="39" fontId="32" fillId="0" borderId="36" xfId="6" applyNumberFormat="1" applyFont="1" applyFill="1" applyBorder="1" applyAlignment="1" applyProtection="1">
      <alignment shrinkToFit="1"/>
      <protection locked="0"/>
    </xf>
    <xf numFmtId="39" fontId="32" fillId="0" borderId="37" xfId="6" applyNumberFormat="1" applyFont="1" applyFill="1" applyBorder="1" applyAlignment="1" applyProtection="1">
      <alignment horizontal="right" shrinkToFit="1"/>
      <protection locked="0"/>
    </xf>
    <xf numFmtId="39" fontId="30" fillId="0" borderId="34" xfId="6" applyNumberFormat="1" applyFont="1" applyFill="1" applyBorder="1" applyAlignment="1" applyProtection="1">
      <alignment shrinkToFit="1"/>
      <protection locked="0"/>
    </xf>
    <xf numFmtId="39" fontId="32" fillId="0" borderId="26" xfId="6" applyNumberFormat="1" applyFont="1" applyFill="1" applyBorder="1" applyAlignment="1" applyProtection="1">
      <alignment shrinkToFit="1"/>
      <protection locked="0"/>
    </xf>
    <xf numFmtId="39" fontId="32" fillId="0" borderId="27" xfId="6" applyNumberFormat="1" applyFont="1" applyFill="1" applyBorder="1" applyAlignment="1" applyProtection="1">
      <alignment shrinkToFit="1"/>
      <protection locked="0"/>
    </xf>
    <xf numFmtId="39" fontId="32" fillId="0" borderId="25" xfId="6" applyNumberFormat="1" applyFont="1" applyFill="1" applyBorder="1" applyAlignment="1" applyProtection="1">
      <alignment shrinkToFit="1"/>
      <protection locked="0"/>
    </xf>
    <xf numFmtId="0" fontId="27" fillId="0" borderId="38" xfId="6" applyFont="1" applyFill="1" applyBorder="1" applyAlignment="1" applyProtection="1">
      <alignment horizontal="left" vertical="center" wrapText="1"/>
      <protection locked="0"/>
    </xf>
    <xf numFmtId="0" fontId="27" fillId="0" borderId="0" xfId="6" applyFont="1" applyFill="1" applyBorder="1" applyAlignment="1" applyProtection="1">
      <alignment horizontal="left" vertical="center" wrapText="1"/>
      <protection locked="0"/>
    </xf>
    <xf numFmtId="39" fontId="30" fillId="0" borderId="4" xfId="6" applyNumberFormat="1" applyFont="1" applyFill="1" applyBorder="1" applyAlignment="1" applyProtection="1">
      <alignment shrinkToFit="1"/>
      <protection locked="0"/>
    </xf>
    <xf numFmtId="39" fontId="30" fillId="0" borderId="39" xfId="6" applyNumberFormat="1" applyFont="1" applyFill="1" applyBorder="1" applyAlignment="1" applyProtection="1">
      <alignment shrinkToFit="1"/>
      <protection locked="0"/>
    </xf>
    <xf numFmtId="39" fontId="30" fillId="0" borderId="40" xfId="6" applyNumberFormat="1" applyFont="1" applyFill="1" applyBorder="1" applyAlignment="1" applyProtection="1">
      <alignment shrinkToFit="1"/>
      <protection locked="0"/>
    </xf>
    <xf numFmtId="39" fontId="30" fillId="0" borderId="39" xfId="6" applyNumberFormat="1" applyFont="1" applyFill="1" applyBorder="1" applyAlignment="1" applyProtection="1">
      <alignment horizontal="center" vertical="center" shrinkToFit="1"/>
      <protection locked="0"/>
    </xf>
    <xf numFmtId="39" fontId="30" fillId="0" borderId="4" xfId="6" applyNumberFormat="1" applyFont="1" applyFill="1" applyBorder="1" applyAlignment="1" applyProtection="1">
      <alignment horizontal="center" vertical="center" shrinkToFit="1"/>
      <protection locked="0"/>
    </xf>
    <xf numFmtId="0" fontId="27" fillId="0" borderId="0" xfId="6" applyFont="1" applyBorder="1"/>
    <xf numFmtId="39" fontId="30" fillId="0" borderId="41" xfId="6" applyNumberFormat="1" applyFont="1" applyFill="1" applyBorder="1" applyAlignment="1" applyProtection="1">
      <alignment shrinkToFit="1"/>
      <protection locked="0"/>
    </xf>
    <xf numFmtId="39" fontId="31" fillId="0" borderId="41" xfId="6" applyNumberFormat="1" applyFont="1" applyFill="1" applyBorder="1" applyAlignment="1" applyProtection="1">
      <alignment shrinkToFit="1"/>
      <protection locked="0"/>
    </xf>
    <xf numFmtId="39" fontId="31" fillId="0" borderId="42" xfId="6" applyNumberFormat="1" applyFont="1" applyFill="1" applyBorder="1" applyAlignment="1" applyProtection="1">
      <alignment shrinkToFit="1"/>
      <protection locked="0"/>
    </xf>
    <xf numFmtId="39" fontId="30" fillId="0" borderId="43" xfId="6" applyNumberFormat="1" applyFont="1" applyFill="1" applyBorder="1" applyAlignment="1" applyProtection="1">
      <alignment shrinkToFit="1"/>
      <protection locked="0"/>
    </xf>
    <xf numFmtId="39" fontId="31" fillId="0" borderId="43" xfId="6" applyNumberFormat="1" applyFont="1" applyFill="1" applyBorder="1" applyAlignment="1" applyProtection="1">
      <alignment shrinkToFit="1"/>
      <protection locked="0"/>
    </xf>
    <xf numFmtId="39" fontId="31" fillId="0" borderId="44" xfId="6" applyNumberFormat="1" applyFont="1" applyFill="1" applyBorder="1" applyAlignment="1" applyProtection="1">
      <alignment shrinkToFit="1"/>
      <protection locked="0"/>
    </xf>
    <xf numFmtId="193" fontId="31" fillId="0" borderId="43" xfId="6" applyNumberFormat="1" applyFont="1" applyFill="1" applyBorder="1" applyAlignment="1" applyProtection="1">
      <alignment shrinkToFit="1"/>
      <protection locked="0"/>
    </xf>
    <xf numFmtId="1" fontId="30" fillId="0" borderId="45" xfId="6" applyNumberFormat="1" applyFont="1" applyFill="1" applyBorder="1" applyAlignment="1" applyProtection="1">
      <alignment horizontal="center" shrinkToFit="1"/>
      <protection locked="0"/>
    </xf>
    <xf numFmtId="1" fontId="30" fillId="0" borderId="4" xfId="6" applyNumberFormat="1" applyFont="1" applyFill="1" applyBorder="1" applyAlignment="1" applyProtection="1">
      <alignment horizontal="center" shrinkToFit="1"/>
      <protection locked="0"/>
    </xf>
    <xf numFmtId="194" fontId="30" fillId="0" borderId="46" xfId="6" applyNumberFormat="1" applyFont="1" applyFill="1" applyBorder="1" applyAlignment="1" applyProtection="1">
      <alignment horizontal="center" vertical="center" shrinkToFit="1"/>
      <protection locked="0"/>
    </xf>
    <xf numFmtId="189" fontId="30" fillId="0" borderId="46" xfId="6" applyNumberFormat="1" applyFont="1" applyFill="1" applyBorder="1" applyAlignment="1" applyProtection="1">
      <alignment horizontal="center" vertical="center" shrinkToFit="1"/>
      <protection locked="0"/>
    </xf>
    <xf numFmtId="0" fontId="30" fillId="0" borderId="39" xfId="6" applyFont="1" applyFill="1" applyBorder="1" applyAlignment="1" applyProtection="1">
      <alignment horizontal="center" vertical="center" shrinkToFit="1"/>
      <protection locked="0"/>
    </xf>
    <xf numFmtId="0" fontId="30" fillId="0" borderId="39" xfId="6" applyFont="1" applyFill="1" applyBorder="1" applyAlignment="1" applyProtection="1">
      <alignment horizontal="center" shrinkToFit="1"/>
      <protection locked="0"/>
    </xf>
    <xf numFmtId="0" fontId="35" fillId="0" borderId="31" xfId="6" applyFont="1" applyFill="1" applyBorder="1" applyAlignment="1">
      <alignment shrinkToFit="1"/>
    </xf>
    <xf numFmtId="0" fontId="35" fillId="0" borderId="0" xfId="6" applyFont="1" applyFill="1" applyBorder="1" applyAlignment="1">
      <alignment shrinkToFit="1"/>
    </xf>
    <xf numFmtId="0" fontId="35" fillId="0" borderId="45" xfId="6" applyFont="1" applyFill="1" applyBorder="1" applyAlignment="1">
      <alignment shrinkToFit="1"/>
    </xf>
    <xf numFmtId="0" fontId="2" fillId="0" borderId="47" xfId="6" applyFont="1" applyFill="1" applyBorder="1" applyAlignment="1">
      <alignment shrinkToFit="1"/>
    </xf>
    <xf numFmtId="0" fontId="2" fillId="0" borderId="48" xfId="6" applyFont="1" applyFill="1" applyBorder="1" applyAlignment="1">
      <alignment shrinkToFit="1"/>
    </xf>
    <xf numFmtId="0" fontId="2" fillId="0" borderId="49" xfId="6" applyFont="1" applyBorder="1"/>
    <xf numFmtId="0" fontId="2" fillId="0" borderId="40" xfId="6" applyFont="1" applyFill="1" applyBorder="1" applyAlignment="1">
      <alignment shrinkToFit="1"/>
    </xf>
    <xf numFmtId="39" fontId="31" fillId="5" borderId="44" xfId="6" applyNumberFormat="1" applyFont="1" applyFill="1" applyBorder="1" applyAlignment="1" applyProtection="1">
      <alignment shrinkToFit="1"/>
      <protection locked="0"/>
    </xf>
    <xf numFmtId="39" fontId="30" fillId="5" borderId="43" xfId="6" applyNumberFormat="1" applyFont="1" applyFill="1" applyBorder="1" applyAlignment="1" applyProtection="1">
      <alignment shrinkToFit="1"/>
      <protection locked="0"/>
    </xf>
    <xf numFmtId="39" fontId="31" fillId="5" borderId="43" xfId="6" applyNumberFormat="1" applyFont="1" applyFill="1" applyBorder="1" applyAlignment="1" applyProtection="1">
      <alignment shrinkToFit="1"/>
      <protection locked="0"/>
    </xf>
    <xf numFmtId="39" fontId="24" fillId="0" borderId="0" xfId="6" applyNumberFormat="1" applyFont="1" applyBorder="1"/>
    <xf numFmtId="0" fontId="0" fillId="0" borderId="50" xfId="0" applyBorder="1"/>
    <xf numFmtId="2" fontId="36" fillId="0" borderId="51" xfId="0" applyNumberFormat="1" applyFont="1" applyBorder="1" applyAlignment="1"/>
    <xf numFmtId="0" fontId="0" fillId="0" borderId="0" xfId="0" applyBorder="1"/>
    <xf numFmtId="2" fontId="36" fillId="0" borderId="0" xfId="0" applyNumberFormat="1" applyFont="1" applyBorder="1" applyAlignment="1"/>
    <xf numFmtId="0" fontId="3" fillId="0" borderId="0" xfId="0" applyFont="1" applyFill="1"/>
    <xf numFmtId="0" fontId="2" fillId="0" borderId="0" xfId="0" applyFont="1" applyFill="1"/>
    <xf numFmtId="2" fontId="2" fillId="0" borderId="0" xfId="0" applyNumberFormat="1" applyFont="1" applyFill="1"/>
    <xf numFmtId="0" fontId="4" fillId="0" borderId="47" xfId="0" applyFont="1" applyFill="1" applyBorder="1" applyAlignment="1">
      <alignment horizontal="center"/>
    </xf>
    <xf numFmtId="2" fontId="6" fillId="0" borderId="0" xfId="0" applyNumberFormat="1" applyFont="1" applyFill="1"/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18" fillId="0" borderId="52" xfId="0" applyFont="1" applyBorder="1"/>
    <xf numFmtId="2" fontId="18" fillId="0" borderId="53" xfId="0" applyNumberFormat="1" applyFont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 wrapText="1"/>
    </xf>
    <xf numFmtId="0" fontId="18" fillId="0" borderId="55" xfId="0" applyFont="1" applyBorder="1"/>
    <xf numFmtId="0" fontId="18" fillId="0" borderId="56" xfId="0" applyFont="1" applyBorder="1" applyAlignment="1">
      <alignment horizontal="center" vertical="center" wrapText="1"/>
    </xf>
    <xf numFmtId="2" fontId="18" fillId="0" borderId="57" xfId="0" applyNumberFormat="1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justify" vertical="center" wrapText="1"/>
    </xf>
    <xf numFmtId="4" fontId="38" fillId="0" borderId="0" xfId="0" applyNumberFormat="1" applyFont="1" applyFill="1" applyBorder="1" applyAlignment="1"/>
    <xf numFmtId="49" fontId="6" fillId="0" borderId="2" xfId="0" applyNumberFormat="1" applyFont="1" applyFill="1" applyBorder="1" applyAlignment="1">
      <alignment horizontal="justify" wrapText="1"/>
    </xf>
    <xf numFmtId="177" fontId="6" fillId="0" borderId="1" xfId="0" applyNumberFormat="1" applyFont="1" applyFill="1" applyBorder="1" applyAlignment="1">
      <alignment horizontal="justify" wrapText="1"/>
    </xf>
    <xf numFmtId="0" fontId="6" fillId="0" borderId="2" xfId="0" applyNumberFormat="1" applyFont="1" applyFill="1" applyBorder="1" applyAlignment="1">
      <alignment horizontal="justify" wrapText="1"/>
    </xf>
    <xf numFmtId="189" fontId="4" fillId="0" borderId="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right"/>
    </xf>
    <xf numFmtId="2" fontId="17" fillId="0" borderId="0" xfId="0" applyNumberFormat="1" applyFont="1" applyBorder="1" applyAlignment="1"/>
    <xf numFmtId="215" fontId="6" fillId="0" borderId="0" xfId="0" applyNumberFormat="1" applyFont="1"/>
    <xf numFmtId="214" fontId="27" fillId="0" borderId="0" xfId="6" applyNumberFormat="1" applyFont="1" applyFill="1" applyBorder="1" applyAlignment="1" applyProtection="1">
      <alignment horizontal="left" vertical="center" wrapText="1"/>
      <protection locked="0"/>
    </xf>
    <xf numFmtId="215" fontId="2" fillId="0" borderId="0" xfId="0" applyNumberFormat="1" applyFont="1"/>
    <xf numFmtId="0" fontId="2" fillId="0" borderId="9" xfId="0" applyFont="1" applyFill="1" applyBorder="1"/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217" fontId="31" fillId="0" borderId="43" xfId="6" applyNumberFormat="1" applyFont="1" applyFill="1" applyBorder="1" applyAlignment="1" applyProtection="1">
      <alignment shrinkToFit="1"/>
      <protection locked="0"/>
    </xf>
    <xf numFmtId="0" fontId="6" fillId="0" borderId="0" xfId="0" applyFont="1" applyBorder="1"/>
    <xf numFmtId="0" fontId="6" fillId="0" borderId="0" xfId="0" applyFont="1"/>
    <xf numFmtId="0" fontId="6" fillId="0" borderId="0" xfId="0" applyFont="1" applyFill="1"/>
    <xf numFmtId="0" fontId="6" fillId="0" borderId="5" xfId="0" applyFont="1" applyBorder="1"/>
    <xf numFmtId="0" fontId="39" fillId="0" borderId="5" xfId="0" applyFont="1" applyBorder="1"/>
    <xf numFmtId="2" fontId="4" fillId="0" borderId="46" xfId="0" applyNumberFormat="1" applyFont="1" applyFill="1" applyBorder="1" applyAlignment="1">
      <alignment horizontal="center"/>
    </xf>
    <xf numFmtId="4" fontId="7" fillId="0" borderId="45" xfId="0" applyNumberFormat="1" applyFont="1" applyFill="1" applyBorder="1" applyAlignment="1">
      <alignment horizontal="center"/>
    </xf>
    <xf numFmtId="4" fontId="7" fillId="0" borderId="9" xfId="0" applyNumberFormat="1" applyFont="1" applyFill="1" applyBorder="1" applyAlignment="1">
      <alignment horizontal="center"/>
    </xf>
    <xf numFmtId="4" fontId="7" fillId="0" borderId="31" xfId="0" applyNumberFormat="1" applyFont="1" applyFill="1" applyBorder="1" applyAlignment="1">
      <alignment horizontal="center"/>
    </xf>
    <xf numFmtId="0" fontId="4" fillId="0" borderId="70" xfId="0" applyFont="1" applyFill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/>
    </xf>
    <xf numFmtId="0" fontId="4" fillId="0" borderId="49" xfId="0" applyFont="1" applyBorder="1" applyAlignment="1">
      <alignment horizontal="justify" wrapText="1"/>
    </xf>
    <xf numFmtId="0" fontId="4" fillId="0" borderId="0" xfId="0" applyFont="1" applyBorder="1" applyAlignment="1">
      <alignment horizontal="justify" wrapText="1"/>
    </xf>
    <xf numFmtId="0" fontId="2" fillId="0" borderId="75" xfId="0" applyFont="1" applyFill="1" applyBorder="1" applyAlignment="1">
      <alignment horizontal="justify" vertical="center" wrapText="1"/>
    </xf>
    <xf numFmtId="0" fontId="2" fillId="0" borderId="76" xfId="0" applyFont="1" applyFill="1" applyBorder="1" applyAlignment="1">
      <alignment horizontal="justify" vertical="center" wrapText="1"/>
    </xf>
    <xf numFmtId="0" fontId="2" fillId="0" borderId="77" xfId="0" applyFont="1" applyFill="1" applyBorder="1" applyAlignment="1">
      <alignment horizontal="justify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17" fontId="4" fillId="0" borderId="70" xfId="0" applyNumberFormat="1" applyFont="1" applyFill="1" applyBorder="1" applyAlignment="1">
      <alignment horizontal="center" vertical="center"/>
    </xf>
    <xf numFmtId="17" fontId="4" fillId="0" borderId="71" xfId="0" applyNumberFormat="1" applyFont="1" applyFill="1" applyBorder="1" applyAlignment="1">
      <alignment horizontal="center" vertical="center"/>
    </xf>
    <xf numFmtId="2" fontId="6" fillId="0" borderId="0" xfId="0" applyNumberFormat="1" applyFont="1" applyBorder="1" applyAlignment="1">
      <alignment horizontal="left"/>
    </xf>
    <xf numFmtId="177" fontId="4" fillId="0" borderId="45" xfId="0" applyNumberFormat="1" applyFont="1" applyFill="1" applyBorder="1" applyAlignment="1">
      <alignment horizontal="center"/>
    </xf>
    <xf numFmtId="177" fontId="4" fillId="0" borderId="9" xfId="0" applyNumberFormat="1" applyFont="1" applyFill="1" applyBorder="1" applyAlignment="1">
      <alignment horizontal="center"/>
    </xf>
    <xf numFmtId="177" fontId="4" fillId="0" borderId="31" xfId="0" applyNumberFormat="1" applyFont="1" applyFill="1" applyBorder="1" applyAlignment="1">
      <alignment horizontal="center"/>
    </xf>
    <xf numFmtId="0" fontId="4" fillId="0" borderId="45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3" fillId="0" borderId="68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47" xfId="0" applyFont="1" applyFill="1" applyBorder="1" applyAlignment="1">
      <alignment horizontal="center" vertical="center" shrinkToFit="1"/>
    </xf>
    <xf numFmtId="2" fontId="6" fillId="0" borderId="69" xfId="0" applyNumberFormat="1" applyFont="1" applyBorder="1" applyAlignment="1">
      <alignment horizontal="left"/>
    </xf>
    <xf numFmtId="0" fontId="4" fillId="0" borderId="72" xfId="0" applyFont="1" applyFill="1" applyBorder="1" applyAlignment="1">
      <alignment horizontal="center" vertical="center" wrapText="1"/>
    </xf>
    <xf numFmtId="0" fontId="4" fillId="0" borderId="73" xfId="0" applyFont="1" applyFill="1" applyBorder="1" applyAlignment="1">
      <alignment horizontal="center" vertical="center" wrapText="1"/>
    </xf>
    <xf numFmtId="0" fontId="4" fillId="0" borderId="74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8" fillId="0" borderId="38" xfId="0" applyFont="1" applyFill="1" applyBorder="1" applyAlignment="1">
      <alignment horizontal="center" vertical="center" shrinkToFit="1"/>
    </xf>
    <xf numFmtId="0" fontId="8" fillId="0" borderId="49" xfId="0" applyFont="1" applyFill="1" applyBorder="1" applyAlignment="1">
      <alignment horizontal="center" vertical="center" shrinkToFit="1"/>
    </xf>
    <xf numFmtId="0" fontId="8" fillId="0" borderId="40" xfId="0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2" fillId="0" borderId="65" xfId="0" applyFont="1" applyFill="1" applyBorder="1" applyAlignment="1">
      <alignment horizontal="left" vertical="center" wrapText="1"/>
    </xf>
    <xf numFmtId="0" fontId="2" fillId="0" borderId="66" xfId="0" applyFont="1" applyFill="1" applyBorder="1" applyAlignment="1">
      <alignment horizontal="left" vertical="center" wrapText="1"/>
    </xf>
    <xf numFmtId="0" fontId="2" fillId="0" borderId="67" xfId="0" applyFont="1" applyFill="1" applyBorder="1" applyAlignment="1">
      <alignment horizontal="left" vertical="center" wrapText="1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25" xfId="0" applyFont="1" applyBorder="1" applyAlignment="1">
      <alignment horizontal="right"/>
    </xf>
    <xf numFmtId="0" fontId="17" fillId="0" borderId="27" xfId="0" applyFont="1" applyBorder="1" applyAlignment="1">
      <alignment horizontal="right"/>
    </xf>
    <xf numFmtId="0" fontId="17" fillId="0" borderId="26" xfId="0" applyFont="1" applyBorder="1" applyAlignment="1">
      <alignment horizontal="right"/>
    </xf>
    <xf numFmtId="2" fontId="36" fillId="0" borderId="51" xfId="0" applyNumberFormat="1" applyFont="1" applyBorder="1" applyAlignment="1">
      <alignment horizontal="left"/>
    </xf>
    <xf numFmtId="2" fontId="36" fillId="0" borderId="0" xfId="0" applyNumberFormat="1" applyFont="1" applyBorder="1" applyAlignment="1">
      <alignment horizontal="left"/>
    </xf>
    <xf numFmtId="0" fontId="17" fillId="0" borderId="55" xfId="0" applyFont="1" applyBorder="1" applyAlignment="1">
      <alignment horizontal="justify" wrapText="1"/>
    </xf>
    <xf numFmtId="0" fontId="17" fillId="0" borderId="56" xfId="0" applyFont="1" applyBorder="1" applyAlignment="1">
      <alignment horizontal="justify" wrapText="1"/>
    </xf>
    <xf numFmtId="0" fontId="17" fillId="0" borderId="57" xfId="0" applyFont="1" applyBorder="1" applyAlignment="1">
      <alignment horizontal="justify" wrapText="1"/>
    </xf>
    <xf numFmtId="0" fontId="17" fillId="0" borderId="58" xfId="0" applyFont="1" applyBorder="1" applyAlignment="1">
      <alignment horizontal="justify" wrapText="1"/>
    </xf>
    <xf numFmtId="0" fontId="19" fillId="3" borderId="25" xfId="5" applyFont="1" applyFill="1" applyBorder="1" applyAlignment="1"/>
    <xf numFmtId="0" fontId="14" fillId="3" borderId="27" xfId="5" applyFill="1" applyBorder="1" applyAlignment="1"/>
    <xf numFmtId="0" fontId="14" fillId="3" borderId="26" xfId="5" applyFill="1" applyBorder="1" applyAlignment="1"/>
    <xf numFmtId="0" fontId="16" fillId="4" borderId="25" xfId="5" applyFont="1" applyFill="1" applyBorder="1" applyAlignment="1">
      <alignment horizontal="center" vertical="center" wrapText="1"/>
    </xf>
    <xf numFmtId="0" fontId="16" fillId="4" borderId="27" xfId="5" applyFont="1" applyFill="1" applyBorder="1" applyAlignment="1">
      <alignment horizontal="center" vertical="center" wrapText="1"/>
    </xf>
    <xf numFmtId="0" fontId="16" fillId="4" borderId="26" xfId="5" applyFont="1" applyFill="1" applyBorder="1" applyAlignment="1">
      <alignment horizontal="center" vertical="center" wrapText="1"/>
    </xf>
    <xf numFmtId="0" fontId="15" fillId="0" borderId="78" xfId="5" applyFont="1" applyBorder="1" applyAlignment="1">
      <alignment horizontal="center"/>
    </xf>
    <xf numFmtId="0" fontId="14" fillId="0" borderId="79" xfId="5" applyBorder="1" applyAlignment="1">
      <alignment horizontal="center"/>
    </xf>
    <xf numFmtId="0" fontId="14" fillId="0" borderId="80" xfId="5" applyBorder="1" applyAlignment="1">
      <alignment horizontal="center"/>
    </xf>
    <xf numFmtId="0" fontId="30" fillId="0" borderId="81" xfId="6" applyNumberFormat="1" applyFont="1" applyFill="1" applyBorder="1" applyAlignment="1" applyProtection="1">
      <alignment horizontal="center" shrinkToFit="1"/>
      <protection locked="0"/>
    </xf>
    <xf numFmtId="0" fontId="31" fillId="0" borderId="82" xfId="6" applyFont="1" applyFill="1" applyBorder="1" applyAlignment="1" applyProtection="1">
      <alignment horizontal="center" shrinkToFit="1"/>
      <protection locked="0"/>
    </xf>
    <xf numFmtId="177" fontId="30" fillId="0" borderId="94" xfId="6" applyNumberFormat="1" applyFont="1" applyFill="1" applyBorder="1" applyAlignment="1" applyProtection="1">
      <alignment horizontal="left" wrapText="1" shrinkToFit="1"/>
      <protection locked="0"/>
    </xf>
    <xf numFmtId="177" fontId="30" fillId="0" borderId="81" xfId="6" applyNumberFormat="1" applyFont="1" applyFill="1" applyBorder="1" applyAlignment="1" applyProtection="1">
      <alignment horizontal="left" wrapText="1" shrinkToFit="1"/>
      <protection locked="0"/>
    </xf>
    <xf numFmtId="39" fontId="30" fillId="0" borderId="82" xfId="6" applyNumberFormat="1" applyFont="1" applyFill="1" applyBorder="1" applyAlignment="1" applyProtection="1">
      <alignment vertical="top" shrinkToFit="1"/>
      <protection locked="0"/>
    </xf>
    <xf numFmtId="39" fontId="31" fillId="0" borderId="82" xfId="6" applyNumberFormat="1" applyFont="1" applyFill="1" applyBorder="1" applyAlignment="1" applyProtection="1">
      <alignment vertical="top" shrinkToFit="1"/>
      <protection locked="0"/>
    </xf>
    <xf numFmtId="39" fontId="30" fillId="0" borderId="83" xfId="6" applyNumberFormat="1" applyFont="1" applyFill="1" applyBorder="1" applyAlignment="1" applyProtection="1">
      <protection locked="0"/>
    </xf>
    <xf numFmtId="0" fontId="2" fillId="0" borderId="84" xfId="6" applyFont="1" applyBorder="1" applyAlignment="1"/>
    <xf numFmtId="39" fontId="30" fillId="0" borderId="85" xfId="6" applyNumberFormat="1" applyFont="1" applyFill="1" applyBorder="1" applyAlignment="1" applyProtection="1">
      <alignment vertical="center" shrinkToFit="1"/>
      <protection locked="0"/>
    </xf>
    <xf numFmtId="39" fontId="31" fillId="0" borderId="86" xfId="6" applyNumberFormat="1" applyFont="1" applyFill="1" applyBorder="1" applyAlignment="1" applyProtection="1">
      <alignment vertical="center" shrinkToFit="1"/>
      <protection locked="0"/>
    </xf>
    <xf numFmtId="0" fontId="8" fillId="0" borderId="117" xfId="6" applyFont="1" applyFill="1" applyBorder="1" applyAlignment="1" applyProtection="1">
      <alignment horizontal="left" shrinkToFit="1"/>
      <protection locked="0"/>
    </xf>
    <xf numFmtId="0" fontId="8" fillId="0" borderId="76" xfId="6" applyFont="1" applyFill="1" applyBorder="1" applyAlignment="1" applyProtection="1">
      <alignment horizontal="left" shrinkToFit="1"/>
      <protection locked="0"/>
    </xf>
    <xf numFmtId="0" fontId="8" fillId="0" borderId="77" xfId="6" applyFont="1" applyFill="1" applyBorder="1" applyAlignment="1" applyProtection="1">
      <alignment horizontal="left" shrinkToFit="1"/>
      <protection locked="0"/>
    </xf>
    <xf numFmtId="39" fontId="8" fillId="0" borderId="117" xfId="6" applyNumberFormat="1" applyFont="1" applyFill="1" applyBorder="1" applyAlignment="1" applyProtection="1">
      <alignment horizontal="left" shrinkToFit="1"/>
      <protection locked="0"/>
    </xf>
    <xf numFmtId="39" fontId="8" fillId="0" borderId="76" xfId="6" applyNumberFormat="1" applyFont="1" applyFill="1" applyBorder="1" applyAlignment="1" applyProtection="1">
      <alignment horizontal="left" shrinkToFit="1"/>
      <protection locked="0"/>
    </xf>
    <xf numFmtId="39" fontId="8" fillId="0" borderId="77" xfId="6" applyNumberFormat="1" applyFont="1" applyFill="1" applyBorder="1" applyAlignment="1" applyProtection="1">
      <alignment horizontal="left" shrinkToFit="1"/>
      <protection locked="0"/>
    </xf>
    <xf numFmtId="0" fontId="8" fillId="0" borderId="92" xfId="6" applyFont="1" applyFill="1" applyBorder="1" applyAlignment="1">
      <alignment horizontal="left" vertical="center"/>
    </xf>
    <xf numFmtId="0" fontId="3" fillId="0" borderId="93" xfId="6" applyFont="1" applyFill="1" applyBorder="1" applyAlignment="1">
      <alignment horizontal="left" vertical="center"/>
    </xf>
    <xf numFmtId="0" fontId="3" fillId="0" borderId="118" xfId="6" applyFont="1" applyFill="1" applyBorder="1" applyAlignment="1">
      <alignment horizontal="left" vertical="center"/>
    </xf>
    <xf numFmtId="0" fontId="8" fillId="0" borderId="65" xfId="6" applyFont="1" applyFill="1" applyBorder="1" applyAlignment="1">
      <alignment horizontal="left" shrinkToFit="1"/>
    </xf>
    <xf numFmtId="0" fontId="8" fillId="0" borderId="66" xfId="6" applyFont="1" applyFill="1" applyBorder="1" applyAlignment="1">
      <alignment horizontal="left" shrinkToFit="1"/>
    </xf>
    <xf numFmtId="0" fontId="8" fillId="0" borderId="67" xfId="6" applyFont="1" applyFill="1" applyBorder="1" applyAlignment="1">
      <alignment horizontal="left" shrinkToFit="1"/>
    </xf>
    <xf numFmtId="39" fontId="8" fillId="0" borderId="30" xfId="6" applyNumberFormat="1" applyFont="1" applyFill="1" applyBorder="1" applyAlignment="1" applyProtection="1">
      <alignment horizontal="center" shrinkToFit="1"/>
      <protection locked="0"/>
    </xf>
    <xf numFmtId="39" fontId="8" fillId="0" borderId="91" xfId="6" applyNumberFormat="1" applyFont="1" applyFill="1" applyBorder="1" applyAlignment="1" applyProtection="1">
      <alignment horizontal="center" shrinkToFit="1"/>
      <protection locked="0"/>
    </xf>
    <xf numFmtId="0" fontId="23" fillId="0" borderId="0" xfId="6" applyFont="1" applyBorder="1" applyAlignment="1">
      <alignment horizontal="left" vertical="center"/>
    </xf>
    <xf numFmtId="0" fontId="27" fillId="0" borderId="111" xfId="6" applyFont="1" applyFill="1" applyBorder="1" applyAlignment="1" applyProtection="1">
      <alignment horizontal="center" shrinkToFit="1"/>
      <protection locked="0"/>
    </xf>
    <xf numFmtId="0" fontId="27" fillId="0" borderId="112" xfId="6" applyFont="1" applyFill="1" applyBorder="1" applyAlignment="1" applyProtection="1">
      <alignment horizontal="center" shrinkToFit="1"/>
      <protection locked="0"/>
    </xf>
    <xf numFmtId="0" fontId="27" fillId="0" borderId="113" xfId="6" applyFont="1" applyFill="1" applyBorder="1" applyAlignment="1" applyProtection="1">
      <alignment horizontal="center" shrinkToFit="1"/>
      <protection locked="0"/>
    </xf>
    <xf numFmtId="0" fontId="27" fillId="0" borderId="28" xfId="6" applyFont="1" applyFill="1" applyBorder="1" applyAlignment="1" applyProtection="1">
      <alignment horizontal="center" shrinkToFit="1"/>
      <protection locked="0"/>
    </xf>
    <xf numFmtId="0" fontId="27" fillId="0" borderId="0" xfId="6" applyFont="1" applyFill="1" applyBorder="1" applyAlignment="1" applyProtection="1">
      <alignment horizontal="center" shrinkToFit="1"/>
      <protection locked="0"/>
    </xf>
    <xf numFmtId="0" fontId="27" fillId="0" borderId="61" xfId="6" applyFont="1" applyFill="1" applyBorder="1" applyAlignment="1" applyProtection="1">
      <alignment horizontal="center" shrinkToFit="1"/>
      <protection locked="0"/>
    </xf>
    <xf numFmtId="0" fontId="27" fillId="0" borderId="114" xfId="6" applyFont="1" applyFill="1" applyBorder="1" applyAlignment="1" applyProtection="1">
      <alignment horizontal="center" shrinkToFit="1"/>
      <protection locked="0"/>
    </xf>
    <xf numFmtId="0" fontId="27" fillId="0" borderId="115" xfId="6" applyFont="1" applyFill="1" applyBorder="1" applyAlignment="1" applyProtection="1">
      <alignment horizontal="center" shrinkToFit="1"/>
      <protection locked="0"/>
    </xf>
    <xf numFmtId="0" fontId="27" fillId="0" borderId="116" xfId="6" applyFont="1" applyFill="1" applyBorder="1" applyAlignment="1" applyProtection="1">
      <alignment horizontal="center" shrinkToFit="1"/>
      <protection locked="0"/>
    </xf>
    <xf numFmtId="0" fontId="8" fillId="0" borderId="30" xfId="6" applyFont="1" applyFill="1" applyBorder="1" applyAlignment="1">
      <alignment horizontal="left" vertical="center"/>
    </xf>
    <xf numFmtId="0" fontId="3" fillId="0" borderId="91" xfId="6" applyFont="1" applyFill="1" applyBorder="1" applyAlignment="1">
      <alignment horizontal="left" vertical="center"/>
    </xf>
    <xf numFmtId="0" fontId="3" fillId="0" borderId="108" xfId="6" applyFont="1" applyFill="1" applyBorder="1" applyAlignment="1">
      <alignment horizontal="left" vertical="center"/>
    </xf>
    <xf numFmtId="0" fontId="7" fillId="0" borderId="45" xfId="6" applyFont="1" applyFill="1" applyBorder="1" applyAlignment="1">
      <alignment horizontal="center" vertical="center" wrapText="1"/>
    </xf>
    <xf numFmtId="0" fontId="7" fillId="0" borderId="9" xfId="6" applyFont="1" applyFill="1" applyBorder="1" applyAlignment="1">
      <alignment horizontal="center" vertical="center" wrapText="1"/>
    </xf>
    <xf numFmtId="0" fontId="7" fillId="0" borderId="31" xfId="6" applyFont="1" applyFill="1" applyBorder="1" applyAlignment="1">
      <alignment horizontal="center" vertical="center" wrapText="1"/>
    </xf>
    <xf numFmtId="39" fontId="27" fillId="0" borderId="30" xfId="6" applyNumberFormat="1" applyFont="1" applyFill="1" applyBorder="1" applyAlignment="1" applyProtection="1">
      <alignment horizontal="left" vertical="center" wrapText="1"/>
      <protection locked="0"/>
    </xf>
    <xf numFmtId="39" fontId="27" fillId="0" borderId="91" xfId="6" applyNumberFormat="1" applyFont="1" applyFill="1" applyBorder="1" applyAlignment="1" applyProtection="1">
      <alignment horizontal="left" vertical="center" wrapText="1"/>
      <protection locked="0"/>
    </xf>
    <xf numFmtId="0" fontId="25" fillId="0" borderId="91" xfId="6" applyFont="1" applyFill="1" applyBorder="1" applyAlignment="1">
      <alignment horizontal="center" vertical="center" wrapText="1"/>
    </xf>
    <xf numFmtId="0" fontId="25" fillId="0" borderId="108" xfId="6" applyFont="1" applyFill="1" applyBorder="1" applyAlignment="1">
      <alignment horizontal="center" vertical="center" wrapText="1"/>
    </xf>
    <xf numFmtId="0" fontId="25" fillId="0" borderId="89" xfId="6" applyFont="1" applyFill="1" applyBorder="1" applyAlignment="1">
      <alignment horizontal="left" shrinkToFit="1"/>
    </xf>
    <xf numFmtId="0" fontId="25" fillId="0" borderId="64" xfId="6" applyFont="1" applyFill="1" applyBorder="1" applyAlignment="1">
      <alignment horizontal="left" shrinkToFit="1"/>
    </xf>
    <xf numFmtId="0" fontId="25" fillId="0" borderId="90" xfId="6" applyFont="1" applyFill="1" applyBorder="1" applyAlignment="1">
      <alignment horizontal="left" shrinkToFit="1"/>
    </xf>
    <xf numFmtId="39" fontId="8" fillId="0" borderId="109" xfId="6" applyNumberFormat="1" applyFont="1" applyFill="1" applyBorder="1" applyAlignment="1" applyProtection="1">
      <alignment horizontal="left" shrinkToFit="1"/>
      <protection locked="0"/>
    </xf>
    <xf numFmtId="0" fontId="26" fillId="0" borderId="66" xfId="6" applyFont="1" applyFill="1" applyBorder="1" applyAlignment="1">
      <alignment horizontal="left" shrinkToFit="1"/>
    </xf>
    <xf numFmtId="0" fontId="26" fillId="0" borderId="110" xfId="6" applyFont="1" applyFill="1" applyBorder="1" applyAlignment="1">
      <alignment horizontal="left" shrinkToFit="1"/>
    </xf>
    <xf numFmtId="0" fontId="25" fillId="0" borderId="91" xfId="6" applyFont="1" applyFill="1" applyBorder="1" applyAlignment="1">
      <alignment horizontal="center" shrinkToFit="1"/>
    </xf>
    <xf numFmtId="0" fontId="25" fillId="0" borderId="108" xfId="6" applyFont="1" applyFill="1" applyBorder="1" applyAlignment="1">
      <alignment horizontal="center" shrinkToFit="1"/>
    </xf>
    <xf numFmtId="0" fontId="27" fillId="0" borderId="30" xfId="6" applyFont="1" applyFill="1" applyBorder="1" applyAlignment="1" applyProtection="1">
      <alignment horizontal="right" shrinkToFit="1"/>
      <protection locked="0"/>
    </xf>
    <xf numFmtId="0" fontId="27" fillId="0" borderId="91" xfId="6" applyFont="1" applyFill="1" applyBorder="1" applyAlignment="1" applyProtection="1">
      <alignment horizontal="right" shrinkToFit="1"/>
      <protection locked="0"/>
    </xf>
    <xf numFmtId="0" fontId="25" fillId="0" borderId="65" xfId="6" applyFont="1" applyFill="1" applyBorder="1" applyAlignment="1">
      <alignment horizontal="left" shrinkToFit="1"/>
    </xf>
    <xf numFmtId="0" fontId="25" fillId="0" borderId="67" xfId="6" applyFont="1" applyFill="1" applyBorder="1" applyAlignment="1">
      <alignment horizontal="left" shrinkToFit="1"/>
    </xf>
    <xf numFmtId="0" fontId="26" fillId="0" borderId="66" xfId="6" applyFont="1" applyBorder="1" applyAlignment="1">
      <alignment horizontal="left" shrinkToFit="1"/>
    </xf>
    <xf numFmtId="0" fontId="26" fillId="0" borderId="110" xfId="6" applyFont="1" applyBorder="1" applyAlignment="1">
      <alignment horizontal="left" shrinkToFit="1"/>
    </xf>
    <xf numFmtId="39" fontId="29" fillId="0" borderId="29" xfId="6" applyNumberFormat="1" applyFont="1" applyFill="1" applyBorder="1" applyAlignment="1" applyProtection="1">
      <alignment horizontal="center" shrinkToFit="1"/>
      <protection locked="0"/>
    </xf>
    <xf numFmtId="0" fontId="28" fillId="0" borderId="106" xfId="6" applyFont="1" applyBorder="1" applyAlignment="1">
      <alignment horizontal="center" shrinkToFit="1"/>
    </xf>
    <xf numFmtId="0" fontId="28" fillId="0" borderId="107" xfId="6" applyFont="1" applyBorder="1" applyAlignment="1">
      <alignment horizontal="center" shrinkToFit="1"/>
    </xf>
    <xf numFmtId="0" fontId="25" fillId="0" borderId="66" xfId="6" applyFont="1" applyFill="1" applyBorder="1" applyAlignment="1">
      <alignment horizontal="left" shrinkToFit="1"/>
    </xf>
    <xf numFmtId="177" fontId="30" fillId="0" borderId="99" xfId="6" applyNumberFormat="1" applyFont="1" applyFill="1" applyBorder="1" applyAlignment="1" applyProtection="1">
      <alignment shrinkToFit="1"/>
      <protection locked="0"/>
    </xf>
    <xf numFmtId="0" fontId="31" fillId="0" borderId="100" xfId="6" applyFont="1" applyFill="1" applyBorder="1" applyAlignment="1" applyProtection="1">
      <alignment shrinkToFit="1"/>
      <protection locked="0"/>
    </xf>
    <xf numFmtId="0" fontId="30" fillId="0" borderId="97" xfId="6" applyFont="1" applyFill="1" applyBorder="1" applyAlignment="1" applyProtection="1">
      <alignment shrinkToFit="1"/>
      <protection locked="0"/>
    </xf>
    <xf numFmtId="0" fontId="31" fillId="0" borderId="98" xfId="6" applyFont="1" applyFill="1" applyBorder="1" applyAlignment="1" applyProtection="1">
      <alignment shrinkToFit="1"/>
      <protection locked="0"/>
    </xf>
    <xf numFmtId="0" fontId="3" fillId="0" borderId="101" xfId="6" applyFont="1" applyFill="1" applyBorder="1" applyAlignment="1" applyProtection="1">
      <alignment horizontal="center" vertical="center" wrapText="1"/>
      <protection locked="0"/>
    </xf>
    <xf numFmtId="0" fontId="3" fillId="0" borderId="102" xfId="6" applyFont="1" applyFill="1" applyBorder="1" applyAlignment="1" applyProtection="1">
      <alignment horizontal="center" vertical="center" wrapText="1"/>
      <protection locked="0"/>
    </xf>
    <xf numFmtId="0" fontId="3" fillId="0" borderId="103" xfId="6" applyFont="1" applyFill="1" applyBorder="1" applyAlignment="1" applyProtection="1">
      <alignment vertical="center" wrapText="1"/>
      <protection locked="0"/>
    </xf>
    <xf numFmtId="0" fontId="3" fillId="0" borderId="104" xfId="6" applyFont="1" applyFill="1" applyBorder="1" applyAlignment="1" applyProtection="1">
      <alignment vertical="center" wrapText="1"/>
      <protection locked="0"/>
    </xf>
    <xf numFmtId="0" fontId="2" fillId="0" borderId="105" xfId="6" applyFont="1" applyFill="1" applyBorder="1" applyAlignment="1" applyProtection="1">
      <alignment vertical="center" wrapText="1"/>
      <protection locked="0"/>
    </xf>
    <xf numFmtId="0" fontId="29" fillId="0" borderId="29" xfId="6" applyFont="1" applyFill="1" applyBorder="1" applyAlignment="1" applyProtection="1">
      <alignment horizontal="center" shrinkToFit="1"/>
      <protection locked="0"/>
    </xf>
    <xf numFmtId="0" fontId="30" fillId="0" borderId="82" xfId="6" applyNumberFormat="1" applyFont="1" applyFill="1" applyBorder="1" applyAlignment="1" applyProtection="1">
      <alignment horizontal="center" shrinkToFit="1"/>
      <protection locked="0"/>
    </xf>
    <xf numFmtId="0" fontId="31" fillId="0" borderId="96" xfId="6" applyFont="1" applyFill="1" applyBorder="1" applyAlignment="1" applyProtection="1">
      <alignment horizontal="center" shrinkToFit="1"/>
      <protection locked="0"/>
    </xf>
    <xf numFmtId="177" fontId="30" fillId="0" borderId="82" xfId="6" applyNumberFormat="1" applyFont="1" applyFill="1" applyBorder="1" applyAlignment="1" applyProtection="1">
      <alignment shrinkToFit="1"/>
      <protection locked="0"/>
    </xf>
    <xf numFmtId="0" fontId="31" fillId="0" borderId="96" xfId="6" applyFont="1" applyFill="1" applyBorder="1" applyAlignment="1" applyProtection="1">
      <alignment shrinkToFit="1"/>
      <protection locked="0"/>
    </xf>
    <xf numFmtId="39" fontId="31" fillId="0" borderId="96" xfId="6" applyNumberFormat="1" applyFont="1" applyFill="1" applyBorder="1" applyAlignment="1" applyProtection="1">
      <alignment vertical="top" shrinkToFit="1"/>
      <protection locked="0"/>
    </xf>
    <xf numFmtId="0" fontId="2" fillId="0" borderId="95" xfId="6" applyFont="1" applyBorder="1" applyAlignment="1"/>
    <xf numFmtId="177" fontId="30" fillId="0" borderId="97" xfId="6" applyNumberFormat="1" applyFont="1" applyFill="1" applyBorder="1" applyAlignment="1" applyProtection="1">
      <alignment shrinkToFit="1"/>
      <protection locked="0"/>
    </xf>
    <xf numFmtId="177" fontId="30" fillId="0" borderId="82" xfId="6" applyNumberFormat="1" applyFont="1" applyFill="1" applyBorder="1" applyAlignment="1" applyProtection="1">
      <alignment horizontal="left" wrapText="1" shrinkToFit="1"/>
      <protection locked="0"/>
    </xf>
    <xf numFmtId="0" fontId="31" fillId="0" borderId="82" xfId="6" applyFont="1" applyFill="1" applyBorder="1" applyAlignment="1" applyProtection="1">
      <alignment horizontal="left" wrapText="1" shrinkToFit="1"/>
      <protection locked="0"/>
    </xf>
    <xf numFmtId="0" fontId="31" fillId="0" borderId="81" xfId="6" applyFont="1" applyFill="1" applyBorder="1" applyAlignment="1" applyProtection="1">
      <alignment horizontal="left" wrapText="1" shrinkToFit="1"/>
      <protection locked="0"/>
    </xf>
    <xf numFmtId="0" fontId="30" fillId="0" borderId="39" xfId="6" applyFont="1" applyFill="1" applyBorder="1" applyAlignment="1" applyProtection="1">
      <alignment horizontal="center" vertical="center" shrinkToFit="1"/>
      <protection locked="0"/>
    </xf>
    <xf numFmtId="0" fontId="31" fillId="0" borderId="46" xfId="6" applyFont="1" applyBorder="1" applyAlignment="1">
      <alignment horizontal="center" vertical="center" shrinkToFit="1"/>
    </xf>
    <xf numFmtId="177" fontId="30" fillId="0" borderId="39" xfId="6" applyNumberFormat="1" applyFont="1" applyFill="1" applyBorder="1" applyAlignment="1" applyProtection="1">
      <alignment horizontal="left" shrinkToFit="1"/>
      <protection locked="0"/>
    </xf>
    <xf numFmtId="177" fontId="30" fillId="0" borderId="81" xfId="6" applyNumberFormat="1" applyFont="1" applyFill="1" applyBorder="1" applyAlignment="1" applyProtection="1">
      <alignment horizontal="left" shrinkToFit="1"/>
      <protection locked="0"/>
    </xf>
    <xf numFmtId="39" fontId="30" fillId="0" borderId="81" xfId="6" applyNumberFormat="1" applyFont="1" applyFill="1" applyBorder="1" applyAlignment="1" applyProtection="1">
      <alignment vertical="center" shrinkToFit="1"/>
      <protection locked="0"/>
    </xf>
    <xf numFmtId="39" fontId="30" fillId="0" borderId="82" xfId="6" applyNumberFormat="1" applyFont="1" applyFill="1" applyBorder="1" applyAlignment="1" applyProtection="1">
      <alignment vertical="center" shrinkToFit="1"/>
      <protection locked="0"/>
    </xf>
    <xf numFmtId="39" fontId="30" fillId="0" borderId="95" xfId="6" applyNumberFormat="1" applyFont="1" applyFill="1" applyBorder="1" applyAlignment="1" applyProtection="1">
      <alignment shrinkToFit="1"/>
      <protection locked="0"/>
    </xf>
    <xf numFmtId="0" fontId="2" fillId="0" borderId="84" xfId="6" applyFont="1" applyBorder="1" applyAlignment="1">
      <alignment shrinkToFit="1"/>
    </xf>
    <xf numFmtId="0" fontId="4" fillId="0" borderId="68" xfId="6" applyFont="1" applyFill="1" applyBorder="1" applyAlignment="1">
      <alignment horizontal="center" vertical="center" shrinkToFit="1"/>
    </xf>
    <xf numFmtId="0" fontId="4" fillId="0" borderId="47" xfId="6" applyFont="1" applyFill="1" applyBorder="1" applyAlignment="1">
      <alignment horizontal="center" vertical="center" shrinkToFit="1"/>
    </xf>
    <xf numFmtId="0" fontId="8" fillId="0" borderId="92" xfId="6" applyFont="1" applyFill="1" applyBorder="1" applyAlignment="1">
      <alignment horizontal="center" vertical="center" shrinkToFit="1"/>
    </xf>
    <xf numFmtId="0" fontId="8" fillId="0" borderId="93" xfId="6" applyFont="1" applyFill="1" applyBorder="1" applyAlignment="1">
      <alignment horizontal="center" vertical="center" shrinkToFit="1"/>
    </xf>
    <xf numFmtId="0" fontId="25" fillId="0" borderId="75" xfId="6" applyFont="1" applyFill="1" applyBorder="1" applyAlignment="1">
      <alignment horizontal="left" wrapText="1" shrinkToFit="1"/>
    </xf>
    <xf numFmtId="0" fontId="25" fillId="0" borderId="76" xfId="6" applyFont="1" applyFill="1" applyBorder="1" applyAlignment="1">
      <alignment horizontal="left" wrapText="1" shrinkToFit="1"/>
    </xf>
    <xf numFmtId="0" fontId="25" fillId="0" borderId="77" xfId="6" applyFont="1" applyFill="1" applyBorder="1" applyAlignment="1">
      <alignment horizontal="left" wrapText="1" shrinkToFit="1"/>
    </xf>
    <xf numFmtId="189" fontId="30" fillId="0" borderId="39" xfId="6" applyNumberFormat="1" applyFont="1" applyFill="1" applyBorder="1" applyAlignment="1" applyProtection="1">
      <alignment vertical="center" shrinkToFit="1"/>
      <protection locked="0"/>
    </xf>
    <xf numFmtId="0" fontId="31" fillId="0" borderId="46" xfId="6" applyFont="1" applyBorder="1" applyAlignment="1">
      <alignment vertical="center" shrinkToFit="1"/>
    </xf>
    <xf numFmtId="0" fontId="27" fillId="0" borderId="45" xfId="6" applyFont="1" applyFill="1" applyBorder="1" applyAlignment="1" applyProtection="1">
      <alignment horizontal="center" vertical="center"/>
      <protection locked="0"/>
    </xf>
    <xf numFmtId="0" fontId="33" fillId="0" borderId="9" xfId="6" applyFont="1" applyFill="1" applyBorder="1" applyAlignment="1" applyProtection="1">
      <alignment horizontal="center" vertical="center"/>
      <protection locked="0"/>
    </xf>
    <xf numFmtId="0" fontId="34" fillId="0" borderId="9" xfId="6" applyFont="1" applyBorder="1" applyAlignment="1">
      <alignment horizontal="center" vertical="center"/>
    </xf>
    <xf numFmtId="0" fontId="33" fillId="0" borderId="31" xfId="6" applyFont="1" applyFill="1" applyBorder="1" applyAlignment="1" applyProtection="1">
      <alignment horizontal="center" vertical="center"/>
      <protection locked="0"/>
    </xf>
    <xf numFmtId="1" fontId="30" fillId="0" borderId="39" xfId="6" applyNumberFormat="1" applyFont="1" applyFill="1" applyBorder="1" applyAlignment="1" applyProtection="1">
      <alignment horizontal="center" vertical="center"/>
      <protection locked="0"/>
    </xf>
    <xf numFmtId="0" fontId="31" fillId="0" borderId="46" xfId="6" applyFont="1" applyBorder="1" applyAlignment="1">
      <alignment horizontal="center" vertical="center"/>
    </xf>
    <xf numFmtId="0" fontId="8" fillId="0" borderId="38" xfId="6" applyFont="1" applyFill="1" applyBorder="1" applyAlignment="1">
      <alignment horizontal="center" vertical="center" shrinkToFit="1"/>
    </xf>
    <xf numFmtId="0" fontId="8" fillId="0" borderId="40" xfId="6" applyFont="1" applyFill="1" applyBorder="1" applyAlignment="1">
      <alignment horizontal="center" vertical="center" shrinkToFit="1"/>
    </xf>
    <xf numFmtId="0" fontId="30" fillId="0" borderId="63" xfId="6" applyFont="1" applyFill="1" applyBorder="1" applyAlignment="1">
      <alignment horizontal="center" wrapText="1" shrinkToFit="1"/>
    </xf>
    <xf numFmtId="0" fontId="30" fillId="0" borderId="64" xfId="6" applyFont="1" applyFill="1" applyBorder="1" applyAlignment="1">
      <alignment horizontal="center" wrapText="1" shrinkToFit="1"/>
    </xf>
    <xf numFmtId="0" fontId="3" fillId="0" borderId="87" xfId="6" applyFont="1" applyBorder="1" applyAlignment="1">
      <alignment horizontal="center" vertical="center" wrapText="1" shrinkToFit="1"/>
    </xf>
    <xf numFmtId="0" fontId="3" fillId="0" borderId="88" xfId="6" applyFont="1" applyBorder="1" applyAlignment="1">
      <alignment horizontal="center" vertical="center" shrinkToFit="1"/>
    </xf>
    <xf numFmtId="14" fontId="22" fillId="0" borderId="89" xfId="6" applyNumberFormat="1" applyBorder="1" applyAlignment="1">
      <alignment horizontal="center" wrapText="1" shrinkToFit="1"/>
    </xf>
    <xf numFmtId="0" fontId="22" fillId="0" borderId="64" xfId="6" applyBorder="1" applyAlignment="1">
      <alignment horizontal="center" wrapText="1" shrinkToFit="1"/>
    </xf>
    <xf numFmtId="0" fontId="22" fillId="0" borderId="90" xfId="6" applyBorder="1" applyAlignment="1">
      <alignment horizontal="center" wrapText="1" shrinkToFit="1"/>
    </xf>
    <xf numFmtId="0" fontId="4" fillId="0" borderId="28" xfId="6" applyFont="1" applyFill="1" applyBorder="1" applyAlignment="1">
      <alignment horizontal="center" vertical="center" wrapText="1"/>
    </xf>
    <xf numFmtId="0" fontId="12" fillId="0" borderId="61" xfId="6" applyFont="1" applyFill="1" applyBorder="1" applyAlignment="1">
      <alignment horizontal="center" vertical="center" wrapText="1"/>
    </xf>
    <xf numFmtId="0" fontId="8" fillId="0" borderId="30" xfId="6" applyFont="1" applyFill="1" applyBorder="1" applyAlignment="1">
      <alignment horizontal="center" vertical="center" shrinkToFit="1"/>
    </xf>
    <xf numFmtId="0" fontId="8" fillId="0" borderId="91" xfId="6" applyFont="1" applyFill="1" applyBorder="1" applyAlignment="1">
      <alignment horizontal="center" vertical="center" shrinkToFit="1"/>
    </xf>
    <xf numFmtId="0" fontId="25" fillId="0" borderId="65" xfId="6" applyFont="1" applyFill="1" applyBorder="1" applyAlignment="1">
      <alignment horizontal="left" wrapText="1" shrinkToFit="1"/>
    </xf>
    <xf numFmtId="0" fontId="25" fillId="0" borderId="66" xfId="6" applyFont="1" applyFill="1" applyBorder="1" applyAlignment="1">
      <alignment horizontal="left" wrapText="1" shrinkToFit="1"/>
    </xf>
    <xf numFmtId="0" fontId="25" fillId="0" borderId="67" xfId="6" applyFont="1" applyFill="1" applyBorder="1" applyAlignment="1">
      <alignment horizontal="left" wrapText="1" shrinkToFit="1"/>
    </xf>
    <xf numFmtId="0" fontId="8" fillId="0" borderId="111" xfId="6" applyFont="1" applyFill="1" applyBorder="1" applyAlignment="1">
      <alignment horizontal="left"/>
    </xf>
    <xf numFmtId="0" fontId="3" fillId="0" borderId="112" xfId="6" applyFont="1" applyFill="1" applyBorder="1" applyAlignment="1">
      <alignment horizontal="left"/>
    </xf>
    <xf numFmtId="0" fontId="3" fillId="0" borderId="113" xfId="6" applyFont="1" applyFill="1" applyBorder="1" applyAlignment="1">
      <alignment horizontal="left"/>
    </xf>
    <xf numFmtId="0" fontId="6" fillId="0" borderId="0" xfId="0" applyFont="1" applyBorder="1" applyAlignment="1">
      <alignment vertical="top"/>
    </xf>
  </cellXfs>
  <cellStyles count="11">
    <cellStyle name="Moeda" xfId="1" builtinId="4"/>
    <cellStyle name="Moeda 2" xfId="2"/>
    <cellStyle name="Moeda 3" xfId="3"/>
    <cellStyle name="Moeda 4" xfId="4"/>
    <cellStyle name="Normal" xfId="0" builtinId="0"/>
    <cellStyle name="Normal 2" xfId="5"/>
    <cellStyle name="Normal 3" xfId="6"/>
    <cellStyle name="Normal 4" xfId="7"/>
    <cellStyle name="Separador de milhares 2" xfId="8"/>
    <cellStyle name="Vírgula 2" xfId="9"/>
    <cellStyle name="Vírgula 3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266700</xdr:colOff>
      <xdr:row>0</xdr:row>
      <xdr:rowOff>28575</xdr:rowOff>
    </xdr:from>
    <xdr:to>
      <xdr:col>10</xdr:col>
      <xdr:colOff>981075</xdr:colOff>
      <xdr:row>2</xdr:row>
      <xdr:rowOff>428625</xdr:rowOff>
    </xdr:to>
    <xdr:pic>
      <xdr:nvPicPr>
        <xdr:cNvPr id="1455" name="Picture 8">
          <a:extLst>
            <a:ext uri="{FF2B5EF4-FFF2-40B4-BE49-F238E27FC236}">
              <a16:creationId xmlns:a16="http://schemas.microsoft.com/office/drawing/2014/main" id="{A43F6C72-05EA-4F25-A50B-4F8FDC0C1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9525" y="28575"/>
          <a:ext cx="714375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79</xdr:row>
      <xdr:rowOff>266700</xdr:rowOff>
    </xdr:from>
    <xdr:to>
      <xdr:col>6</xdr:col>
      <xdr:colOff>200025</xdr:colOff>
      <xdr:row>91</xdr:row>
      <xdr:rowOff>257175</xdr:rowOff>
    </xdr:to>
    <xdr:sp macro="" textlink="">
      <xdr:nvSpPr>
        <xdr:cNvPr id="21429" name="Imagem 196">
          <a:extLst>
            <a:ext uri="{FF2B5EF4-FFF2-40B4-BE49-F238E27FC236}">
              <a16:creationId xmlns:a16="http://schemas.microsoft.com/office/drawing/2014/main" id="{32F14A87-E280-439D-AEFF-DCAFE6615648}"/>
            </a:ext>
          </a:extLst>
        </xdr:cNvPr>
        <xdr:cNvSpPr>
          <a:spLocks noChangeAspect="1" noChangeArrowheads="1"/>
        </xdr:cNvSpPr>
      </xdr:nvSpPr>
      <xdr:spPr bwMode="auto">
        <a:xfrm>
          <a:off x="1228725" y="20869275"/>
          <a:ext cx="6000750" cy="319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876300</xdr:colOff>
      <xdr:row>112</xdr:row>
      <xdr:rowOff>295275</xdr:rowOff>
    </xdr:from>
    <xdr:to>
      <xdr:col>6</xdr:col>
      <xdr:colOff>200025</xdr:colOff>
      <xdr:row>124</xdr:row>
      <xdr:rowOff>247650</xdr:rowOff>
    </xdr:to>
    <xdr:sp macro="" textlink="">
      <xdr:nvSpPr>
        <xdr:cNvPr id="21430" name="Imagem 199">
          <a:extLst>
            <a:ext uri="{FF2B5EF4-FFF2-40B4-BE49-F238E27FC236}">
              <a16:creationId xmlns:a16="http://schemas.microsoft.com/office/drawing/2014/main" id="{05BB6F9C-2943-43B2-84E6-66CE57AFF904}"/>
            </a:ext>
          </a:extLst>
        </xdr:cNvPr>
        <xdr:cNvSpPr>
          <a:spLocks noChangeAspect="1" noChangeArrowheads="1"/>
        </xdr:cNvSpPr>
      </xdr:nvSpPr>
      <xdr:spPr bwMode="auto">
        <a:xfrm>
          <a:off x="1228725" y="29327475"/>
          <a:ext cx="6000750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876300</xdr:colOff>
      <xdr:row>146</xdr:row>
      <xdr:rowOff>295275</xdr:rowOff>
    </xdr:from>
    <xdr:to>
      <xdr:col>6</xdr:col>
      <xdr:colOff>200025</xdr:colOff>
      <xdr:row>158</xdr:row>
      <xdr:rowOff>247650</xdr:rowOff>
    </xdr:to>
    <xdr:sp macro="" textlink="">
      <xdr:nvSpPr>
        <xdr:cNvPr id="21431" name="Imagem 200">
          <a:extLst>
            <a:ext uri="{FF2B5EF4-FFF2-40B4-BE49-F238E27FC236}">
              <a16:creationId xmlns:a16="http://schemas.microsoft.com/office/drawing/2014/main" id="{A21CDCA9-16B7-43CC-8748-6389F8A9B26D}"/>
            </a:ext>
          </a:extLst>
        </xdr:cNvPr>
        <xdr:cNvSpPr>
          <a:spLocks noChangeAspect="1" noChangeArrowheads="1"/>
        </xdr:cNvSpPr>
      </xdr:nvSpPr>
      <xdr:spPr bwMode="auto">
        <a:xfrm>
          <a:off x="1228725" y="38319075"/>
          <a:ext cx="6000750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876300</xdr:colOff>
      <xdr:row>179</xdr:row>
      <xdr:rowOff>295275</xdr:rowOff>
    </xdr:from>
    <xdr:to>
      <xdr:col>6</xdr:col>
      <xdr:colOff>200025</xdr:colOff>
      <xdr:row>191</xdr:row>
      <xdr:rowOff>247650</xdr:rowOff>
    </xdr:to>
    <xdr:sp macro="" textlink="">
      <xdr:nvSpPr>
        <xdr:cNvPr id="21432" name="Imagem 201">
          <a:extLst>
            <a:ext uri="{FF2B5EF4-FFF2-40B4-BE49-F238E27FC236}">
              <a16:creationId xmlns:a16="http://schemas.microsoft.com/office/drawing/2014/main" id="{A153119F-4C7E-49A0-B157-D6A4F375C708}"/>
            </a:ext>
          </a:extLst>
        </xdr:cNvPr>
        <xdr:cNvSpPr>
          <a:spLocks noChangeAspect="1" noChangeArrowheads="1"/>
        </xdr:cNvSpPr>
      </xdr:nvSpPr>
      <xdr:spPr bwMode="auto">
        <a:xfrm>
          <a:off x="1228725" y="46777275"/>
          <a:ext cx="6000750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876300</xdr:colOff>
      <xdr:row>283</xdr:row>
      <xdr:rowOff>295275</xdr:rowOff>
    </xdr:from>
    <xdr:to>
      <xdr:col>6</xdr:col>
      <xdr:colOff>200025</xdr:colOff>
      <xdr:row>295</xdr:row>
      <xdr:rowOff>247650</xdr:rowOff>
    </xdr:to>
    <xdr:sp macro="" textlink="">
      <xdr:nvSpPr>
        <xdr:cNvPr id="21433" name="Imagem 202">
          <a:extLst>
            <a:ext uri="{FF2B5EF4-FFF2-40B4-BE49-F238E27FC236}">
              <a16:creationId xmlns:a16="http://schemas.microsoft.com/office/drawing/2014/main" id="{94354B1C-B1C8-4FB8-9BE6-9CE9F7271606}"/>
            </a:ext>
          </a:extLst>
        </xdr:cNvPr>
        <xdr:cNvSpPr>
          <a:spLocks noChangeAspect="1" noChangeArrowheads="1"/>
        </xdr:cNvSpPr>
      </xdr:nvSpPr>
      <xdr:spPr bwMode="auto">
        <a:xfrm>
          <a:off x="1228725" y="74018775"/>
          <a:ext cx="6000750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942975</xdr:colOff>
      <xdr:row>181</xdr:row>
      <xdr:rowOff>47625</xdr:rowOff>
    </xdr:from>
    <xdr:to>
      <xdr:col>5</xdr:col>
      <xdr:colOff>342900</xdr:colOff>
      <xdr:row>190</xdr:row>
      <xdr:rowOff>209550</xdr:rowOff>
    </xdr:to>
    <xdr:pic>
      <xdr:nvPicPr>
        <xdr:cNvPr id="21434" name="Imagem 18">
          <a:extLst>
            <a:ext uri="{FF2B5EF4-FFF2-40B4-BE49-F238E27FC236}">
              <a16:creationId xmlns:a16="http://schemas.microsoft.com/office/drawing/2014/main" id="{6AD264FB-7FBD-4BC0-900D-57E8F189D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26"/>
        <a:stretch>
          <a:fillRect/>
        </a:stretch>
      </xdr:blipFill>
      <xdr:spPr bwMode="auto">
        <a:xfrm>
          <a:off x="1295400" y="47091600"/>
          <a:ext cx="5619750" cy="2562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11</xdr:row>
      <xdr:rowOff>266700</xdr:rowOff>
    </xdr:from>
    <xdr:to>
      <xdr:col>6</xdr:col>
      <xdr:colOff>200025</xdr:colOff>
      <xdr:row>23</xdr:row>
      <xdr:rowOff>247650</xdr:rowOff>
    </xdr:to>
    <xdr:sp macro="" textlink="">
      <xdr:nvSpPr>
        <xdr:cNvPr id="21435" name="Imagem 196">
          <a:extLst>
            <a:ext uri="{FF2B5EF4-FFF2-40B4-BE49-F238E27FC236}">
              <a16:creationId xmlns:a16="http://schemas.microsoft.com/office/drawing/2014/main" id="{8AB7583C-B991-43D0-8227-AD97CF82725A}"/>
            </a:ext>
          </a:extLst>
        </xdr:cNvPr>
        <xdr:cNvSpPr>
          <a:spLocks noChangeAspect="1" noChangeArrowheads="1"/>
        </xdr:cNvSpPr>
      </xdr:nvSpPr>
      <xdr:spPr bwMode="auto">
        <a:xfrm>
          <a:off x="1228725" y="3257550"/>
          <a:ext cx="6000750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876300</xdr:colOff>
      <xdr:row>44</xdr:row>
      <xdr:rowOff>295275</xdr:rowOff>
    </xdr:from>
    <xdr:to>
      <xdr:col>6</xdr:col>
      <xdr:colOff>200025</xdr:colOff>
      <xdr:row>56</xdr:row>
      <xdr:rowOff>257175</xdr:rowOff>
    </xdr:to>
    <xdr:sp macro="" textlink="">
      <xdr:nvSpPr>
        <xdr:cNvPr id="21436" name="Imagem 199">
          <a:extLst>
            <a:ext uri="{FF2B5EF4-FFF2-40B4-BE49-F238E27FC236}">
              <a16:creationId xmlns:a16="http://schemas.microsoft.com/office/drawing/2014/main" id="{AB84955C-8376-4CC7-9A4C-4FC89C225639}"/>
            </a:ext>
          </a:extLst>
        </xdr:cNvPr>
        <xdr:cNvSpPr>
          <a:spLocks noChangeAspect="1" noChangeArrowheads="1"/>
        </xdr:cNvSpPr>
      </xdr:nvSpPr>
      <xdr:spPr bwMode="auto">
        <a:xfrm>
          <a:off x="1228725" y="11715750"/>
          <a:ext cx="6000750" cy="319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85725</xdr:colOff>
      <xdr:row>13</xdr:row>
      <xdr:rowOff>228600</xdr:rowOff>
    </xdr:from>
    <xdr:to>
      <xdr:col>6</xdr:col>
      <xdr:colOff>19050</xdr:colOff>
      <xdr:row>23</xdr:row>
      <xdr:rowOff>123825</xdr:rowOff>
    </xdr:to>
    <xdr:pic>
      <xdr:nvPicPr>
        <xdr:cNvPr id="21437" name="Imagem 22">
          <a:extLst>
            <a:ext uri="{FF2B5EF4-FFF2-40B4-BE49-F238E27FC236}">
              <a16:creationId xmlns:a16="http://schemas.microsoft.com/office/drawing/2014/main" id="{EF829106-68E3-452A-B1FE-67701BF904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26"/>
        <a:stretch>
          <a:fillRect/>
        </a:stretch>
      </xdr:blipFill>
      <xdr:spPr bwMode="auto">
        <a:xfrm>
          <a:off x="1428750" y="3752850"/>
          <a:ext cx="5619750" cy="2562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885825</xdr:colOff>
      <xdr:row>45</xdr:row>
      <xdr:rowOff>247650</xdr:rowOff>
    </xdr:from>
    <xdr:to>
      <xdr:col>6</xdr:col>
      <xdr:colOff>0</xdr:colOff>
      <xdr:row>55</xdr:row>
      <xdr:rowOff>133350</xdr:rowOff>
    </xdr:to>
    <xdr:pic>
      <xdr:nvPicPr>
        <xdr:cNvPr id="21438" name="Imagem 23">
          <a:extLst>
            <a:ext uri="{FF2B5EF4-FFF2-40B4-BE49-F238E27FC236}">
              <a16:creationId xmlns:a16="http://schemas.microsoft.com/office/drawing/2014/main" id="{7D541C15-25A8-4B11-81E0-119EDA09E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11963400"/>
          <a:ext cx="5791200" cy="255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914400</xdr:colOff>
      <xdr:row>81</xdr:row>
      <xdr:rowOff>85725</xdr:rowOff>
    </xdr:from>
    <xdr:to>
      <xdr:col>6</xdr:col>
      <xdr:colOff>47625</xdr:colOff>
      <xdr:row>91</xdr:row>
      <xdr:rowOff>9525</xdr:rowOff>
    </xdr:to>
    <xdr:pic>
      <xdr:nvPicPr>
        <xdr:cNvPr id="21439" name="Imagem 11">
          <a:extLst>
            <a:ext uri="{FF2B5EF4-FFF2-40B4-BE49-F238E27FC236}">
              <a16:creationId xmlns:a16="http://schemas.microsoft.com/office/drawing/2014/main" id="{75572DFA-9675-4C02-8047-AD8413DE6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21221700"/>
          <a:ext cx="5810250" cy="259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885825</xdr:colOff>
      <xdr:row>113</xdr:row>
      <xdr:rowOff>257175</xdr:rowOff>
    </xdr:from>
    <xdr:to>
      <xdr:col>6</xdr:col>
      <xdr:colOff>66675</xdr:colOff>
      <xdr:row>123</xdr:row>
      <xdr:rowOff>238125</xdr:rowOff>
    </xdr:to>
    <xdr:pic>
      <xdr:nvPicPr>
        <xdr:cNvPr id="21440" name="Imagem 26">
          <a:extLst>
            <a:ext uri="{FF2B5EF4-FFF2-40B4-BE49-F238E27FC236}">
              <a16:creationId xmlns:a16="http://schemas.microsoft.com/office/drawing/2014/main" id="{1E0D685A-485D-476A-821C-2FDF042EB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29584650"/>
          <a:ext cx="5857875" cy="2647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</xdr:colOff>
      <xdr:row>148</xdr:row>
      <xdr:rowOff>38100</xdr:rowOff>
    </xdr:from>
    <xdr:to>
      <xdr:col>6</xdr:col>
      <xdr:colOff>200025</xdr:colOff>
      <xdr:row>157</xdr:row>
      <xdr:rowOff>247650</xdr:rowOff>
    </xdr:to>
    <xdr:pic>
      <xdr:nvPicPr>
        <xdr:cNvPr id="21441" name="Imagem 27">
          <a:extLst>
            <a:ext uri="{FF2B5EF4-FFF2-40B4-BE49-F238E27FC236}">
              <a16:creationId xmlns:a16="http://schemas.microsoft.com/office/drawing/2014/main" id="{E3539F97-B0BA-4191-AA15-3C55C7C1E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38623875"/>
          <a:ext cx="5876925" cy="260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215</xdr:row>
      <xdr:rowOff>295275</xdr:rowOff>
    </xdr:from>
    <xdr:to>
      <xdr:col>6</xdr:col>
      <xdr:colOff>200025</xdr:colOff>
      <xdr:row>227</xdr:row>
      <xdr:rowOff>247650</xdr:rowOff>
    </xdr:to>
    <xdr:sp macro="" textlink="">
      <xdr:nvSpPr>
        <xdr:cNvPr id="21442" name="Imagem 202">
          <a:extLst>
            <a:ext uri="{FF2B5EF4-FFF2-40B4-BE49-F238E27FC236}">
              <a16:creationId xmlns:a16="http://schemas.microsoft.com/office/drawing/2014/main" id="{E9C7A5AC-4C21-489B-9262-3B639069945F}"/>
            </a:ext>
          </a:extLst>
        </xdr:cNvPr>
        <xdr:cNvSpPr>
          <a:spLocks noChangeAspect="1" noChangeArrowheads="1"/>
        </xdr:cNvSpPr>
      </xdr:nvSpPr>
      <xdr:spPr bwMode="auto">
        <a:xfrm>
          <a:off x="1228725" y="56302275"/>
          <a:ext cx="6000750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885825</xdr:colOff>
      <xdr:row>250</xdr:row>
      <xdr:rowOff>66675</xdr:rowOff>
    </xdr:from>
    <xdr:to>
      <xdr:col>6</xdr:col>
      <xdr:colOff>19050</xdr:colOff>
      <xdr:row>259</xdr:row>
      <xdr:rowOff>257175</xdr:rowOff>
    </xdr:to>
    <xdr:pic>
      <xdr:nvPicPr>
        <xdr:cNvPr id="21443" name="Imagem 11">
          <a:extLst>
            <a:ext uri="{FF2B5EF4-FFF2-40B4-BE49-F238E27FC236}">
              <a16:creationId xmlns:a16="http://schemas.microsoft.com/office/drawing/2014/main" id="{095B5E0B-7D97-46B4-B60E-0F07D042C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65093850"/>
          <a:ext cx="5810250" cy="259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952500</xdr:colOff>
      <xdr:row>217</xdr:row>
      <xdr:rowOff>200025</xdr:rowOff>
    </xdr:from>
    <xdr:to>
      <xdr:col>6</xdr:col>
      <xdr:colOff>57150</xdr:colOff>
      <xdr:row>227</xdr:row>
      <xdr:rowOff>76200</xdr:rowOff>
    </xdr:to>
    <xdr:pic>
      <xdr:nvPicPr>
        <xdr:cNvPr id="21444" name="Imagem 30">
          <a:extLst>
            <a:ext uri="{FF2B5EF4-FFF2-40B4-BE49-F238E27FC236}">
              <a16:creationId xmlns:a16="http://schemas.microsoft.com/office/drawing/2014/main" id="{F6312AF4-D493-4E7A-A8CF-4C710805DD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56769000"/>
          <a:ext cx="5781675" cy="254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942975</xdr:colOff>
      <xdr:row>318</xdr:row>
      <xdr:rowOff>19050</xdr:rowOff>
    </xdr:from>
    <xdr:to>
      <xdr:col>6</xdr:col>
      <xdr:colOff>142875</xdr:colOff>
      <xdr:row>327</xdr:row>
      <xdr:rowOff>219075</xdr:rowOff>
    </xdr:to>
    <xdr:pic>
      <xdr:nvPicPr>
        <xdr:cNvPr id="21445" name="Imagem 32">
          <a:extLst>
            <a:ext uri="{FF2B5EF4-FFF2-40B4-BE49-F238E27FC236}">
              <a16:creationId xmlns:a16="http://schemas.microsoft.com/office/drawing/2014/main" id="{5ADB9EA6-C460-4884-9E49-5E739F6FF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82762725"/>
          <a:ext cx="5876925" cy="2600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285</xdr:row>
      <xdr:rowOff>76200</xdr:rowOff>
    </xdr:from>
    <xdr:to>
      <xdr:col>6</xdr:col>
      <xdr:colOff>57150</xdr:colOff>
      <xdr:row>295</xdr:row>
      <xdr:rowOff>66675</xdr:rowOff>
    </xdr:to>
    <xdr:pic>
      <xdr:nvPicPr>
        <xdr:cNvPr id="21446" name="Imagem 33">
          <a:extLst>
            <a:ext uri="{FF2B5EF4-FFF2-40B4-BE49-F238E27FC236}">
              <a16:creationId xmlns:a16="http://schemas.microsoft.com/office/drawing/2014/main" id="{0040B93A-A264-4DA8-BB5D-24EE17E0D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4361675"/>
          <a:ext cx="5857875" cy="2657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420</xdr:row>
      <xdr:rowOff>266700</xdr:rowOff>
    </xdr:from>
    <xdr:to>
      <xdr:col>6</xdr:col>
      <xdr:colOff>200025</xdr:colOff>
      <xdr:row>432</xdr:row>
      <xdr:rowOff>247650</xdr:rowOff>
    </xdr:to>
    <xdr:sp macro="" textlink="">
      <xdr:nvSpPr>
        <xdr:cNvPr id="21447" name="Imagem 196">
          <a:extLst>
            <a:ext uri="{FF2B5EF4-FFF2-40B4-BE49-F238E27FC236}">
              <a16:creationId xmlns:a16="http://schemas.microsoft.com/office/drawing/2014/main" id="{6529972B-41D7-4160-9041-356708075BE3}"/>
            </a:ext>
          </a:extLst>
        </xdr:cNvPr>
        <xdr:cNvSpPr>
          <a:spLocks noChangeAspect="1" noChangeArrowheads="1"/>
        </xdr:cNvSpPr>
      </xdr:nvSpPr>
      <xdr:spPr bwMode="auto">
        <a:xfrm>
          <a:off x="1228725" y="110004225"/>
          <a:ext cx="6000750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876300</xdr:colOff>
      <xdr:row>453</xdr:row>
      <xdr:rowOff>295275</xdr:rowOff>
    </xdr:from>
    <xdr:to>
      <xdr:col>6</xdr:col>
      <xdr:colOff>200025</xdr:colOff>
      <xdr:row>465</xdr:row>
      <xdr:rowOff>247650</xdr:rowOff>
    </xdr:to>
    <xdr:sp macro="" textlink="">
      <xdr:nvSpPr>
        <xdr:cNvPr id="21448" name="Imagem 199">
          <a:extLst>
            <a:ext uri="{FF2B5EF4-FFF2-40B4-BE49-F238E27FC236}">
              <a16:creationId xmlns:a16="http://schemas.microsoft.com/office/drawing/2014/main" id="{0BDE8FA2-2C1F-4725-ACC2-704A4B53BF11}"/>
            </a:ext>
          </a:extLst>
        </xdr:cNvPr>
        <xdr:cNvSpPr>
          <a:spLocks noChangeAspect="1" noChangeArrowheads="1"/>
        </xdr:cNvSpPr>
      </xdr:nvSpPr>
      <xdr:spPr bwMode="auto">
        <a:xfrm>
          <a:off x="1228725" y="118614825"/>
          <a:ext cx="6000750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838200</xdr:colOff>
      <xdr:row>522</xdr:row>
      <xdr:rowOff>19050</xdr:rowOff>
    </xdr:from>
    <xdr:to>
      <xdr:col>6</xdr:col>
      <xdr:colOff>161925</xdr:colOff>
      <xdr:row>533</xdr:row>
      <xdr:rowOff>257175</xdr:rowOff>
    </xdr:to>
    <xdr:sp macro="" textlink="">
      <xdr:nvSpPr>
        <xdr:cNvPr id="21449" name="Imagem 200">
          <a:extLst>
            <a:ext uri="{FF2B5EF4-FFF2-40B4-BE49-F238E27FC236}">
              <a16:creationId xmlns:a16="http://schemas.microsoft.com/office/drawing/2014/main" id="{461660A6-9B72-44D8-A28A-8C1CFCE33C77}"/>
            </a:ext>
          </a:extLst>
        </xdr:cNvPr>
        <xdr:cNvSpPr>
          <a:spLocks noChangeAspect="1" noChangeArrowheads="1"/>
        </xdr:cNvSpPr>
      </xdr:nvSpPr>
      <xdr:spPr bwMode="auto">
        <a:xfrm>
          <a:off x="1190625" y="136902825"/>
          <a:ext cx="6000750" cy="3171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876300</xdr:colOff>
      <xdr:row>378</xdr:row>
      <xdr:rowOff>0</xdr:rowOff>
    </xdr:from>
    <xdr:to>
      <xdr:col>6</xdr:col>
      <xdr:colOff>200025</xdr:colOff>
      <xdr:row>389</xdr:row>
      <xdr:rowOff>257175</xdr:rowOff>
    </xdr:to>
    <xdr:sp macro="" textlink="">
      <xdr:nvSpPr>
        <xdr:cNvPr id="21450" name="Imagem 196">
          <a:extLst>
            <a:ext uri="{FF2B5EF4-FFF2-40B4-BE49-F238E27FC236}">
              <a16:creationId xmlns:a16="http://schemas.microsoft.com/office/drawing/2014/main" id="{23B620CE-C624-4F9C-BCF4-CDE5324644A7}"/>
            </a:ext>
          </a:extLst>
        </xdr:cNvPr>
        <xdr:cNvSpPr>
          <a:spLocks noChangeAspect="1" noChangeArrowheads="1"/>
        </xdr:cNvSpPr>
      </xdr:nvSpPr>
      <xdr:spPr bwMode="auto">
        <a:xfrm>
          <a:off x="1228725" y="98469450"/>
          <a:ext cx="6000750" cy="319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876300</xdr:colOff>
      <xdr:row>385</xdr:row>
      <xdr:rowOff>266700</xdr:rowOff>
    </xdr:from>
    <xdr:to>
      <xdr:col>6</xdr:col>
      <xdr:colOff>200025</xdr:colOff>
      <xdr:row>397</xdr:row>
      <xdr:rowOff>257175</xdr:rowOff>
    </xdr:to>
    <xdr:sp macro="" textlink="">
      <xdr:nvSpPr>
        <xdr:cNvPr id="21451" name="Imagem 199">
          <a:extLst>
            <a:ext uri="{FF2B5EF4-FFF2-40B4-BE49-F238E27FC236}">
              <a16:creationId xmlns:a16="http://schemas.microsoft.com/office/drawing/2014/main" id="{B0906A7B-8684-4679-93ED-0D6CE29DA5D6}"/>
            </a:ext>
          </a:extLst>
        </xdr:cNvPr>
        <xdr:cNvSpPr>
          <a:spLocks noChangeAspect="1" noChangeArrowheads="1"/>
        </xdr:cNvSpPr>
      </xdr:nvSpPr>
      <xdr:spPr bwMode="auto">
        <a:xfrm>
          <a:off x="1228725" y="100603050"/>
          <a:ext cx="6000750" cy="319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885825</xdr:colOff>
      <xdr:row>386</xdr:row>
      <xdr:rowOff>247650</xdr:rowOff>
    </xdr:from>
    <xdr:to>
      <xdr:col>6</xdr:col>
      <xdr:colOff>0</xdr:colOff>
      <xdr:row>396</xdr:row>
      <xdr:rowOff>133350</xdr:rowOff>
    </xdr:to>
    <xdr:pic>
      <xdr:nvPicPr>
        <xdr:cNvPr id="21452" name="Imagem 23">
          <a:extLst>
            <a:ext uri="{FF2B5EF4-FFF2-40B4-BE49-F238E27FC236}">
              <a16:creationId xmlns:a16="http://schemas.microsoft.com/office/drawing/2014/main" id="{4E42CF80-70B3-4731-BAAD-BC860CB78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100850700"/>
          <a:ext cx="5791200" cy="255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914400</xdr:colOff>
      <xdr:row>422</xdr:row>
      <xdr:rowOff>85725</xdr:rowOff>
    </xdr:from>
    <xdr:to>
      <xdr:col>6</xdr:col>
      <xdr:colOff>47625</xdr:colOff>
      <xdr:row>432</xdr:row>
      <xdr:rowOff>9525</xdr:rowOff>
    </xdr:to>
    <xdr:pic>
      <xdr:nvPicPr>
        <xdr:cNvPr id="21453" name="Imagem 11">
          <a:extLst>
            <a:ext uri="{FF2B5EF4-FFF2-40B4-BE49-F238E27FC236}">
              <a16:creationId xmlns:a16="http://schemas.microsoft.com/office/drawing/2014/main" id="{DC75A7D8-EDFB-4F61-A9E5-4A1B4E3BB5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110356650"/>
          <a:ext cx="5810250" cy="259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885825</xdr:colOff>
      <xdr:row>454</xdr:row>
      <xdr:rowOff>257175</xdr:rowOff>
    </xdr:from>
    <xdr:to>
      <xdr:col>6</xdr:col>
      <xdr:colOff>66675</xdr:colOff>
      <xdr:row>464</xdr:row>
      <xdr:rowOff>238125</xdr:rowOff>
    </xdr:to>
    <xdr:pic>
      <xdr:nvPicPr>
        <xdr:cNvPr id="21454" name="Imagem 26">
          <a:extLst>
            <a:ext uri="{FF2B5EF4-FFF2-40B4-BE49-F238E27FC236}">
              <a16:creationId xmlns:a16="http://schemas.microsoft.com/office/drawing/2014/main" id="{B8950922-52D8-4A9C-80D0-4456FA1E8F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118872000"/>
          <a:ext cx="5857875" cy="2647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487</xdr:row>
      <xdr:rowOff>295275</xdr:rowOff>
    </xdr:from>
    <xdr:to>
      <xdr:col>6</xdr:col>
      <xdr:colOff>200025</xdr:colOff>
      <xdr:row>499</xdr:row>
      <xdr:rowOff>247650</xdr:rowOff>
    </xdr:to>
    <xdr:sp macro="" textlink="">
      <xdr:nvSpPr>
        <xdr:cNvPr id="21455" name="Imagem 200">
          <a:extLst>
            <a:ext uri="{FF2B5EF4-FFF2-40B4-BE49-F238E27FC236}">
              <a16:creationId xmlns:a16="http://schemas.microsoft.com/office/drawing/2014/main" id="{2AD84176-00D2-4BC8-AAAD-DC520C50CE17}"/>
            </a:ext>
          </a:extLst>
        </xdr:cNvPr>
        <xdr:cNvSpPr>
          <a:spLocks noChangeAspect="1" noChangeArrowheads="1"/>
        </xdr:cNvSpPr>
      </xdr:nvSpPr>
      <xdr:spPr bwMode="auto">
        <a:xfrm>
          <a:off x="1228725" y="127749300"/>
          <a:ext cx="6000750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923925</xdr:colOff>
      <xdr:row>489</xdr:row>
      <xdr:rowOff>9525</xdr:rowOff>
    </xdr:from>
    <xdr:to>
      <xdr:col>6</xdr:col>
      <xdr:colOff>123825</xdr:colOff>
      <xdr:row>498</xdr:row>
      <xdr:rowOff>219075</xdr:rowOff>
    </xdr:to>
    <xdr:pic>
      <xdr:nvPicPr>
        <xdr:cNvPr id="21456" name="Imagem 27">
          <a:extLst>
            <a:ext uri="{FF2B5EF4-FFF2-40B4-BE49-F238E27FC236}">
              <a16:creationId xmlns:a16="http://schemas.microsoft.com/office/drawing/2014/main" id="{0B3625FD-D508-4A4D-91CB-5AE7CCD9E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128025525"/>
          <a:ext cx="5876925" cy="260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838200</xdr:colOff>
      <xdr:row>523</xdr:row>
      <xdr:rowOff>238125</xdr:rowOff>
    </xdr:from>
    <xdr:to>
      <xdr:col>4</xdr:col>
      <xdr:colOff>361950</xdr:colOff>
      <xdr:row>532</xdr:row>
      <xdr:rowOff>180975</xdr:rowOff>
    </xdr:to>
    <xdr:pic>
      <xdr:nvPicPr>
        <xdr:cNvPr id="21457" name="Imagem 33">
          <a:extLst>
            <a:ext uri="{FF2B5EF4-FFF2-40B4-BE49-F238E27FC236}">
              <a16:creationId xmlns:a16="http://schemas.microsoft.com/office/drawing/2014/main" id="{A03ADA9C-E36C-4A7A-804C-03FDA3643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5" y="137388600"/>
          <a:ext cx="5305425" cy="2343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420</xdr:row>
      <xdr:rowOff>266700</xdr:rowOff>
    </xdr:from>
    <xdr:to>
      <xdr:col>6</xdr:col>
      <xdr:colOff>200025</xdr:colOff>
      <xdr:row>432</xdr:row>
      <xdr:rowOff>247650</xdr:rowOff>
    </xdr:to>
    <xdr:sp macro="" textlink="">
      <xdr:nvSpPr>
        <xdr:cNvPr id="21458" name="Imagem 196">
          <a:extLst>
            <a:ext uri="{FF2B5EF4-FFF2-40B4-BE49-F238E27FC236}">
              <a16:creationId xmlns:a16="http://schemas.microsoft.com/office/drawing/2014/main" id="{3A833A73-3003-479D-888E-659369924A15}"/>
            </a:ext>
          </a:extLst>
        </xdr:cNvPr>
        <xdr:cNvSpPr>
          <a:spLocks noChangeAspect="1" noChangeArrowheads="1"/>
        </xdr:cNvSpPr>
      </xdr:nvSpPr>
      <xdr:spPr bwMode="auto">
        <a:xfrm>
          <a:off x="1228725" y="110004225"/>
          <a:ext cx="6000750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914400</xdr:colOff>
      <xdr:row>422</xdr:row>
      <xdr:rowOff>85725</xdr:rowOff>
    </xdr:from>
    <xdr:to>
      <xdr:col>6</xdr:col>
      <xdr:colOff>47625</xdr:colOff>
      <xdr:row>432</xdr:row>
      <xdr:rowOff>9525</xdr:rowOff>
    </xdr:to>
    <xdr:pic>
      <xdr:nvPicPr>
        <xdr:cNvPr id="21459" name="Imagem 11">
          <a:extLst>
            <a:ext uri="{FF2B5EF4-FFF2-40B4-BE49-F238E27FC236}">
              <a16:creationId xmlns:a16="http://schemas.microsoft.com/office/drawing/2014/main" id="{890BCB91-004C-44E1-A0A0-E7EC50102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110356650"/>
          <a:ext cx="5810250" cy="259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828675</xdr:colOff>
      <xdr:row>352</xdr:row>
      <xdr:rowOff>257175</xdr:rowOff>
    </xdr:from>
    <xdr:to>
      <xdr:col>6</xdr:col>
      <xdr:colOff>152400</xdr:colOff>
      <xdr:row>364</xdr:row>
      <xdr:rowOff>247650</xdr:rowOff>
    </xdr:to>
    <xdr:sp macro="" textlink="">
      <xdr:nvSpPr>
        <xdr:cNvPr id="21460" name="Imagem 196">
          <a:extLst>
            <a:ext uri="{FF2B5EF4-FFF2-40B4-BE49-F238E27FC236}">
              <a16:creationId xmlns:a16="http://schemas.microsoft.com/office/drawing/2014/main" id="{DBF95C47-E53B-4D90-B6CF-E5E227177090}"/>
            </a:ext>
          </a:extLst>
        </xdr:cNvPr>
        <xdr:cNvSpPr>
          <a:spLocks noChangeAspect="1" noChangeArrowheads="1"/>
        </xdr:cNvSpPr>
      </xdr:nvSpPr>
      <xdr:spPr bwMode="auto">
        <a:xfrm>
          <a:off x="1181100" y="91982925"/>
          <a:ext cx="6000750" cy="319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</xdr:colOff>
      <xdr:row>354</xdr:row>
      <xdr:rowOff>190500</xdr:rowOff>
    </xdr:from>
    <xdr:to>
      <xdr:col>6</xdr:col>
      <xdr:colOff>104775</xdr:colOff>
      <xdr:row>364</xdr:row>
      <xdr:rowOff>85725</xdr:rowOff>
    </xdr:to>
    <xdr:pic>
      <xdr:nvPicPr>
        <xdr:cNvPr id="21461" name="Imagem 22">
          <a:extLst>
            <a:ext uri="{FF2B5EF4-FFF2-40B4-BE49-F238E27FC236}">
              <a16:creationId xmlns:a16="http://schemas.microsoft.com/office/drawing/2014/main" id="{C91D619A-5347-4FA1-8BB2-C1E6711BF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26"/>
        <a:stretch>
          <a:fillRect/>
        </a:stretch>
      </xdr:blipFill>
      <xdr:spPr bwMode="auto">
        <a:xfrm>
          <a:off x="1514475" y="92449650"/>
          <a:ext cx="5619750" cy="2562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238125</xdr:colOff>
      <xdr:row>0</xdr:row>
      <xdr:rowOff>38100</xdr:rowOff>
    </xdr:from>
    <xdr:to>
      <xdr:col>16</xdr:col>
      <xdr:colOff>933450</xdr:colOff>
      <xdr:row>2</xdr:row>
      <xdr:rowOff>352425</xdr:rowOff>
    </xdr:to>
    <xdr:pic>
      <xdr:nvPicPr>
        <xdr:cNvPr id="7542" name="Picture 10">
          <a:extLst>
            <a:ext uri="{FF2B5EF4-FFF2-40B4-BE49-F238E27FC236}">
              <a16:creationId xmlns:a16="http://schemas.microsoft.com/office/drawing/2014/main" id="{CC738543-E356-4F11-8614-7BF9F07DC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74375" y="38100"/>
          <a:ext cx="6953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9"/>
  <sheetViews>
    <sheetView tabSelected="1" view="pageBreakPreview" zoomScale="80" zoomScaleNormal="75" zoomScaleSheetLayoutView="80" workbookViewId="0">
      <selection activeCell="C158" sqref="C158"/>
    </sheetView>
  </sheetViews>
  <sheetFormatPr defaultRowHeight="12.75" x14ac:dyDescent="0.2"/>
  <cols>
    <col min="1" max="1" width="10.5703125" style="2" bestFit="1" customWidth="1"/>
    <col min="2" max="2" width="19.42578125" style="2" bestFit="1" customWidth="1"/>
    <col min="3" max="3" width="57" style="2" customWidth="1"/>
    <col min="4" max="4" width="21" style="2" customWidth="1"/>
    <col min="5" max="5" width="12.7109375" style="2" bestFit="1" customWidth="1"/>
    <col min="6" max="6" width="18.7109375" style="185" customWidth="1"/>
    <col min="7" max="7" width="18.7109375" style="2" customWidth="1"/>
    <col min="8" max="8" width="18.85546875" style="2" customWidth="1"/>
    <col min="9" max="9" width="22.140625" style="2" customWidth="1"/>
    <col min="10" max="10" width="25.5703125" style="2" bestFit="1" customWidth="1"/>
    <col min="11" max="11" width="18.5703125" style="2" customWidth="1"/>
    <col min="12" max="12" width="28.42578125" style="2" customWidth="1"/>
    <col min="13" max="13" width="18.140625" style="2" bestFit="1" customWidth="1"/>
    <col min="14" max="14" width="15.140625" style="2" bestFit="1" customWidth="1"/>
    <col min="15" max="16384" width="9.140625" style="2"/>
  </cols>
  <sheetData>
    <row r="1" spans="1:16" ht="37.5" customHeight="1" x14ac:dyDescent="0.2">
      <c r="A1" s="255" t="s">
        <v>14</v>
      </c>
      <c r="B1" s="256"/>
      <c r="C1" s="257"/>
      <c r="D1" s="266" t="s">
        <v>411</v>
      </c>
      <c r="E1" s="267"/>
      <c r="F1" s="267"/>
      <c r="G1" s="267"/>
      <c r="H1" s="267"/>
      <c r="I1" s="267"/>
      <c r="J1" s="267"/>
      <c r="K1" s="252"/>
    </row>
    <row r="2" spans="1:16" ht="24.95" customHeight="1" x14ac:dyDescent="0.2">
      <c r="A2" s="261" t="s">
        <v>15</v>
      </c>
      <c r="B2" s="262"/>
      <c r="C2" s="263"/>
      <c r="D2" s="42" t="s">
        <v>2</v>
      </c>
      <c r="E2" s="268" t="s">
        <v>21</v>
      </c>
      <c r="F2" s="269"/>
      <c r="G2" s="269"/>
      <c r="H2" s="269"/>
      <c r="I2" s="269"/>
      <c r="J2" s="270"/>
      <c r="K2" s="253"/>
      <c r="L2" s="1"/>
    </row>
    <row r="3" spans="1:16" ht="50.25" customHeight="1" thickBot="1" x14ac:dyDescent="0.25">
      <c r="A3" s="243" t="s">
        <v>10</v>
      </c>
      <c r="B3" s="244"/>
      <c r="C3" s="245"/>
      <c r="D3" s="32" t="s">
        <v>11</v>
      </c>
      <c r="E3" s="229" t="s">
        <v>398</v>
      </c>
      <c r="F3" s="230"/>
      <c r="G3" s="230"/>
      <c r="H3" s="230"/>
      <c r="I3" s="230"/>
      <c r="J3" s="231"/>
      <c r="K3" s="254"/>
      <c r="L3" s="1"/>
    </row>
    <row r="4" spans="1:16" ht="24.95" customHeight="1" thickBot="1" x14ac:dyDescent="0.25">
      <c r="A4" s="40"/>
      <c r="B4" s="1"/>
      <c r="D4" s="38"/>
      <c r="E4" s="38"/>
      <c r="F4" s="212"/>
      <c r="G4" s="38"/>
      <c r="H4" s="38"/>
      <c r="K4" s="35"/>
      <c r="L4" s="36"/>
    </row>
    <row r="5" spans="1:16" s="10" customFormat="1" ht="42" customHeight="1" thickTop="1" thickBot="1" x14ac:dyDescent="0.25">
      <c r="A5" s="41"/>
      <c r="B5" s="45"/>
      <c r="C5" s="39"/>
      <c r="D5" s="37"/>
      <c r="E5" s="33"/>
      <c r="F5" s="213"/>
      <c r="G5" s="264" t="s">
        <v>8</v>
      </c>
      <c r="H5" s="265"/>
      <c r="I5" s="247" t="s">
        <v>405</v>
      </c>
      <c r="J5" s="248"/>
      <c r="K5" s="249"/>
    </row>
    <row r="6" spans="1:16" s="10" customFormat="1" ht="15.95" customHeight="1" thickBot="1" x14ac:dyDescent="0.25">
      <c r="A6" s="225" t="s">
        <v>12</v>
      </c>
      <c r="B6" s="250" t="s">
        <v>18</v>
      </c>
      <c r="C6" s="225" t="s">
        <v>7</v>
      </c>
      <c r="D6" s="234" t="s">
        <v>3</v>
      </c>
      <c r="E6" s="225" t="s">
        <v>9</v>
      </c>
      <c r="F6" s="232" t="s">
        <v>106</v>
      </c>
      <c r="G6" s="232" t="s">
        <v>107</v>
      </c>
      <c r="H6" s="232" t="s">
        <v>6</v>
      </c>
      <c r="I6" s="258" t="s">
        <v>5</v>
      </c>
      <c r="J6" s="259"/>
      <c r="K6" s="260"/>
      <c r="L6" s="11"/>
    </row>
    <row r="7" spans="1:16" s="10" customFormat="1" ht="45.75" customHeight="1" thickBot="1" x14ac:dyDescent="0.25">
      <c r="A7" s="226"/>
      <c r="B7" s="251"/>
      <c r="C7" s="226"/>
      <c r="D7" s="235"/>
      <c r="E7" s="226"/>
      <c r="F7" s="233"/>
      <c r="G7" s="233"/>
      <c r="H7" s="233"/>
      <c r="I7" s="34" t="s">
        <v>4</v>
      </c>
      <c r="J7" s="34" t="s">
        <v>1</v>
      </c>
      <c r="K7" s="43" t="s">
        <v>13</v>
      </c>
      <c r="L7" s="205" t="s">
        <v>63</v>
      </c>
      <c r="M7" s="189">
        <v>5288338.13</v>
      </c>
    </row>
    <row r="8" spans="1:16" s="185" customFormat="1" ht="14.25" x14ac:dyDescent="0.2">
      <c r="A8" s="12">
        <v>1</v>
      </c>
      <c r="B8" s="12"/>
      <c r="C8" s="44" t="s">
        <v>400</v>
      </c>
      <c r="D8" s="13"/>
      <c r="E8" s="14"/>
      <c r="F8" s="15"/>
      <c r="G8" s="15"/>
      <c r="H8" s="28"/>
      <c r="I8" s="16"/>
      <c r="J8" s="16"/>
      <c r="K8" s="15"/>
      <c r="L8" s="206" t="s">
        <v>401</v>
      </c>
      <c r="M8" s="190">
        <f>ROUND(M7*0.82,2)</f>
        <v>4336437.2699999996</v>
      </c>
      <c r="N8" s="185">
        <f>M8/M7</f>
        <v>0.820000000642924</v>
      </c>
      <c r="P8" s="186">
        <f>H15*N8</f>
        <v>8587.3680067329569</v>
      </c>
    </row>
    <row r="9" spans="1:16" s="185" customFormat="1" ht="28.5" x14ac:dyDescent="0.2">
      <c r="A9" s="12" t="s">
        <v>17</v>
      </c>
      <c r="B9" s="55" t="s">
        <v>196</v>
      </c>
      <c r="C9" s="53" t="s">
        <v>195</v>
      </c>
      <c r="D9" s="47" t="s">
        <v>43</v>
      </c>
      <c r="E9" s="19">
        <v>1</v>
      </c>
      <c r="F9" s="15">
        <v>65271.72</v>
      </c>
      <c r="G9" s="19">
        <f>ROUND(F9*1.3271,2)</f>
        <v>86622.1</v>
      </c>
      <c r="H9" s="28">
        <f>ROUND(G9*E9,2)</f>
        <v>86622.1</v>
      </c>
      <c r="I9" s="19">
        <f>H9-J9</f>
        <v>71170.78</v>
      </c>
      <c r="J9" s="19">
        <f>ROUND(H9*$N$9,2)</f>
        <v>15451.32</v>
      </c>
      <c r="K9" s="15"/>
      <c r="L9" s="206" t="s">
        <v>1</v>
      </c>
      <c r="M9" s="186">
        <f>M7-M8-(H15*N8)</f>
        <v>943313.49199326732</v>
      </c>
      <c r="N9" s="185">
        <f>M9/M7</f>
        <v>0.1783761682412065</v>
      </c>
    </row>
    <row r="10" spans="1:16" s="185" customFormat="1" ht="14.25" x14ac:dyDescent="0.2">
      <c r="A10" s="12"/>
      <c r="B10" s="12"/>
      <c r="C10" s="44"/>
      <c r="D10" s="13"/>
      <c r="E10" s="14"/>
      <c r="F10" s="15"/>
      <c r="G10" s="15"/>
      <c r="H10" s="28"/>
      <c r="I10" s="16"/>
      <c r="J10" s="16"/>
      <c r="K10" s="15"/>
      <c r="L10" s="3"/>
    </row>
    <row r="11" spans="1:16" s="185" customFormat="1" ht="14.25" x14ac:dyDescent="0.2">
      <c r="A11" s="17"/>
      <c r="B11" s="46"/>
      <c r="C11" s="21"/>
      <c r="D11" s="48"/>
      <c r="E11" s="22"/>
      <c r="F11" s="19"/>
      <c r="G11" s="19"/>
      <c r="H11" s="28"/>
      <c r="I11" s="19"/>
      <c r="J11" s="19"/>
      <c r="K11" s="19"/>
      <c r="L11" s="3"/>
    </row>
    <row r="12" spans="1:16" s="185" customFormat="1" ht="22.5" x14ac:dyDescent="0.3">
      <c r="A12" s="17"/>
      <c r="B12" s="46"/>
      <c r="C12" s="70" t="s">
        <v>65</v>
      </c>
      <c r="D12" s="48"/>
      <c r="E12" s="22"/>
      <c r="F12" s="19"/>
      <c r="G12" s="19"/>
      <c r="H12" s="71">
        <f>ROUND(SUM(H9:H9),2)</f>
        <v>86622.1</v>
      </c>
      <c r="I12" s="71">
        <f>ROUND(SUM(I9:I9),2)</f>
        <v>71170.78</v>
      </c>
      <c r="J12" s="71">
        <f>ROUND(SUM(J9:J9),2)</f>
        <v>15451.32</v>
      </c>
      <c r="K12" s="19"/>
      <c r="L12" s="201">
        <f>I12+J12</f>
        <v>86622.1</v>
      </c>
      <c r="M12" s="185">
        <f>H12*$N$8</f>
        <v>71030.122055691434</v>
      </c>
      <c r="N12" s="185">
        <f>H12*$N$9</f>
        <v>15451.318283006614</v>
      </c>
    </row>
    <row r="13" spans="1:16" s="185" customFormat="1" ht="14.25" x14ac:dyDescent="0.2">
      <c r="A13" s="17"/>
      <c r="B13" s="46"/>
      <c r="C13" s="70"/>
      <c r="D13" s="48"/>
      <c r="E13" s="22"/>
      <c r="F13" s="19"/>
      <c r="G13" s="19"/>
      <c r="H13" s="71"/>
      <c r="I13" s="71"/>
      <c r="J13" s="71"/>
      <c r="K13" s="19"/>
      <c r="L13" s="3"/>
    </row>
    <row r="14" spans="1:16" s="185" customFormat="1" ht="14.25" x14ac:dyDescent="0.2">
      <c r="A14" s="17">
        <v>2</v>
      </c>
      <c r="B14" s="46"/>
      <c r="C14" s="49" t="s">
        <v>144</v>
      </c>
      <c r="D14" s="18"/>
      <c r="E14" s="22"/>
      <c r="F14" s="19"/>
      <c r="G14" s="19"/>
      <c r="H14" s="28"/>
      <c r="I14" s="19"/>
      <c r="J14" s="19"/>
      <c r="K14" s="19"/>
      <c r="L14" s="3"/>
    </row>
    <row r="15" spans="1:16" s="185" customFormat="1" ht="42.75" x14ac:dyDescent="0.2">
      <c r="A15" s="17" t="s">
        <v>23</v>
      </c>
      <c r="B15" s="55" t="s">
        <v>19</v>
      </c>
      <c r="C15" s="200" t="s">
        <v>143</v>
      </c>
      <c r="D15" s="48" t="s">
        <v>20</v>
      </c>
      <c r="E15" s="19">
        <f>ROUND(24,2)</f>
        <v>24</v>
      </c>
      <c r="F15" s="19">
        <v>328.8</v>
      </c>
      <c r="G15" s="19">
        <f>ROUND(F15*1.3271,2)</f>
        <v>436.35</v>
      </c>
      <c r="H15" s="28">
        <f>ROUND(G15*E15,2)</f>
        <v>10472.4</v>
      </c>
      <c r="I15" s="19">
        <f>ROUND(H15*0,2)</f>
        <v>0</v>
      </c>
      <c r="J15" s="19">
        <f>ROUND(H15,2)</f>
        <v>10472.4</v>
      </c>
      <c r="K15" s="19"/>
      <c r="L15" s="3"/>
    </row>
    <row r="16" spans="1:16" s="185" customFormat="1" ht="42.75" x14ac:dyDescent="0.2">
      <c r="A16" s="17" t="s">
        <v>24</v>
      </c>
      <c r="B16" s="55" t="s">
        <v>146</v>
      </c>
      <c r="C16" s="53" t="s">
        <v>164</v>
      </c>
      <c r="D16" s="48" t="s">
        <v>20</v>
      </c>
      <c r="E16" s="19">
        <f>ROUND('QUANTITATIVO DE ABERTURAS'!D544/10,2)</f>
        <v>124.93</v>
      </c>
      <c r="F16" s="19">
        <v>34.28</v>
      </c>
      <c r="G16" s="19">
        <f>ROUND(F16*1.3271,2)</f>
        <v>45.49</v>
      </c>
      <c r="H16" s="28">
        <f>ROUND(G16*E16,2)</f>
        <v>5683.07</v>
      </c>
      <c r="I16" s="19">
        <f>H16-J16</f>
        <v>4669.3499999999995</v>
      </c>
      <c r="J16" s="19">
        <f>ROUND(H16*$N$9,2)</f>
        <v>1013.72</v>
      </c>
      <c r="K16" s="19"/>
      <c r="L16" s="3"/>
    </row>
    <row r="17" spans="1:18" s="185" customFormat="1" ht="28.5" x14ac:dyDescent="0.2">
      <c r="A17" s="17" t="s">
        <v>25</v>
      </c>
      <c r="B17" s="55" t="s">
        <v>147</v>
      </c>
      <c r="C17" s="53" t="s">
        <v>145</v>
      </c>
      <c r="D17" s="48" t="s">
        <v>20</v>
      </c>
      <c r="E17" s="19">
        <f>ROUND('QUANTITATIVO DE ABERTURAS'!D545/10,2)</f>
        <v>28.4</v>
      </c>
      <c r="F17" s="19">
        <v>51.78</v>
      </c>
      <c r="G17" s="19">
        <f>ROUND(F17*1.3271,2)</f>
        <v>68.72</v>
      </c>
      <c r="H17" s="28">
        <f>ROUND(G17*E17,2)</f>
        <v>1951.65</v>
      </c>
      <c r="I17" s="19">
        <f>H17-J17</f>
        <v>1603.52</v>
      </c>
      <c r="J17" s="19">
        <f>ROUND(H17*$N$9,2)</f>
        <v>348.13</v>
      </c>
      <c r="K17" s="19"/>
      <c r="L17" s="3"/>
    </row>
    <row r="18" spans="1:18" s="185" customFormat="1" ht="14.25" x14ac:dyDescent="0.2">
      <c r="A18" s="17"/>
      <c r="B18" s="46"/>
      <c r="C18" s="18"/>
      <c r="D18" s="47"/>
      <c r="E18" s="19"/>
      <c r="F18" s="19"/>
      <c r="G18" s="19"/>
      <c r="H18" s="28"/>
      <c r="I18" s="19"/>
      <c r="J18" s="19"/>
      <c r="K18" s="19"/>
      <c r="L18" s="3"/>
    </row>
    <row r="19" spans="1:18" s="185" customFormat="1" ht="22.5" x14ac:dyDescent="0.3">
      <c r="A19" s="17"/>
      <c r="B19" s="46"/>
      <c r="C19" s="70" t="s">
        <v>66</v>
      </c>
      <c r="D19" s="47"/>
      <c r="E19" s="19"/>
      <c r="F19" s="19"/>
      <c r="G19" s="19"/>
      <c r="H19" s="71">
        <f>ROUND(SUM(H15:H17),2)</f>
        <v>18107.12</v>
      </c>
      <c r="I19" s="71">
        <f>ROUND(SUM(I15:I17),2)</f>
        <v>6272.87</v>
      </c>
      <c r="J19" s="71">
        <f>ROUND(SUM(J15:J17),2)</f>
        <v>11834.25</v>
      </c>
      <c r="K19" s="19"/>
      <c r="L19" s="201">
        <f>I19+J19</f>
        <v>18107.12</v>
      </c>
      <c r="M19" s="185">
        <f>H19*$N$8</f>
        <v>14847.838411641502</v>
      </c>
      <c r="N19" s="185">
        <f>H19*$N$9</f>
        <v>3229.8786834837147</v>
      </c>
    </row>
    <row r="20" spans="1:18" s="185" customFormat="1" ht="14.25" x14ac:dyDescent="0.2">
      <c r="A20" s="17"/>
      <c r="B20" s="46"/>
      <c r="C20" s="70"/>
      <c r="D20" s="48"/>
      <c r="E20" s="22"/>
      <c r="F20" s="19"/>
      <c r="G20" s="19"/>
      <c r="H20" s="71"/>
      <c r="I20" s="71"/>
      <c r="J20" s="71"/>
      <c r="K20" s="19"/>
      <c r="L20" s="3"/>
    </row>
    <row r="21" spans="1:18" s="185" customFormat="1" ht="14.25" x14ac:dyDescent="0.2">
      <c r="A21" s="17"/>
      <c r="B21" s="46"/>
      <c r="C21" s="70"/>
      <c r="D21" s="48"/>
      <c r="E21" s="22"/>
      <c r="F21" s="19"/>
      <c r="G21" s="19"/>
      <c r="H21" s="71"/>
      <c r="I21" s="71"/>
      <c r="J21" s="71"/>
      <c r="K21" s="19"/>
      <c r="L21" s="3"/>
    </row>
    <row r="22" spans="1:18" s="185" customFormat="1" ht="14.25" x14ac:dyDescent="0.2">
      <c r="A22" s="17"/>
      <c r="B22" s="46"/>
      <c r="C22" s="18"/>
      <c r="D22" s="18"/>
      <c r="E22" s="19"/>
      <c r="F22" s="19"/>
      <c r="G22" s="19"/>
      <c r="H22" s="28"/>
      <c r="I22" s="19"/>
      <c r="J22" s="19"/>
      <c r="K22" s="19"/>
      <c r="L22" s="3"/>
    </row>
    <row r="23" spans="1:18" s="185" customFormat="1" ht="14.25" x14ac:dyDescent="0.2">
      <c r="A23" s="17">
        <v>3</v>
      </c>
      <c r="B23" s="46"/>
      <c r="C23" s="49" t="s">
        <v>22</v>
      </c>
      <c r="D23" s="18"/>
      <c r="E23" s="22"/>
      <c r="F23" s="19"/>
      <c r="G23" s="19"/>
      <c r="H23" s="28"/>
      <c r="I23" s="19"/>
      <c r="J23" s="19"/>
      <c r="K23" s="19"/>
      <c r="L23" s="3"/>
    </row>
    <row r="24" spans="1:18" s="185" customFormat="1" ht="28.5" customHeight="1" x14ac:dyDescent="0.2">
      <c r="A24" s="17" t="s">
        <v>29</v>
      </c>
      <c r="B24" s="55" t="s">
        <v>406</v>
      </c>
      <c r="C24" s="53" t="s">
        <v>407</v>
      </c>
      <c r="D24" s="47" t="s">
        <v>41</v>
      </c>
      <c r="E24" s="19">
        <f>ROUND('QUANTITATIVO REDES'!D33+'QUANTITATIVO REDES'!D40+'QUANTITATIVO REDES'!D47+'QUANTITATIVO REDES'!D68,2)</f>
        <v>12378.7</v>
      </c>
      <c r="F24" s="19">
        <v>1.3</v>
      </c>
      <c r="G24" s="19">
        <f>ROUND(F24*1.3271,2)</f>
        <v>1.73</v>
      </c>
      <c r="H24" s="28">
        <f>ROUND(G24*E24,2)</f>
        <v>21415.15</v>
      </c>
      <c r="I24" s="19">
        <f>H24-J24</f>
        <v>17595.2</v>
      </c>
      <c r="J24" s="19">
        <f>ROUND(H24*$N$9,2)</f>
        <v>3819.95</v>
      </c>
      <c r="K24" s="19"/>
      <c r="L24" s="3"/>
    </row>
    <row r="25" spans="1:18" s="185" customFormat="1" ht="42.75" customHeight="1" x14ac:dyDescent="0.2">
      <c r="A25" s="17" t="s">
        <v>30</v>
      </c>
      <c r="B25" s="55" t="s">
        <v>254</v>
      </c>
      <c r="C25" s="53" t="s">
        <v>253</v>
      </c>
      <c r="D25" s="48" t="s">
        <v>43</v>
      </c>
      <c r="E25" s="19">
        <f>E40+E41+E42</f>
        <v>1765</v>
      </c>
      <c r="F25" s="19">
        <v>9.5399999999999991</v>
      </c>
      <c r="G25" s="19">
        <f>ROUND(F25*1.3271,2)</f>
        <v>12.66</v>
      </c>
      <c r="H25" s="28">
        <f>ROUND(G25*E25,2)</f>
        <v>22344.9</v>
      </c>
      <c r="I25" s="19">
        <f>H25-J25</f>
        <v>18359.100000000002</v>
      </c>
      <c r="J25" s="19">
        <f>ROUND(H25*$N$9,2)</f>
        <v>3985.8</v>
      </c>
      <c r="K25" s="19"/>
      <c r="L25" s="3"/>
    </row>
    <row r="26" spans="1:18" s="185" customFormat="1" ht="14.25" x14ac:dyDescent="0.2">
      <c r="A26" s="17" t="s">
        <v>148</v>
      </c>
      <c r="B26" s="55" t="s">
        <v>255</v>
      </c>
      <c r="C26" s="53" t="s">
        <v>26</v>
      </c>
      <c r="D26" s="47" t="s">
        <v>42</v>
      </c>
      <c r="E26" s="19">
        <f>ROUND(20,2)</f>
        <v>20</v>
      </c>
      <c r="F26" s="19">
        <v>1455.6</v>
      </c>
      <c r="G26" s="19">
        <f>ROUND(F26,2)</f>
        <v>1455.6</v>
      </c>
      <c r="H26" s="28">
        <f>ROUND(G26*E26,2)</f>
        <v>29112</v>
      </c>
      <c r="I26" s="19">
        <f>H26-J26</f>
        <v>23919.11</v>
      </c>
      <c r="J26" s="19">
        <f>ROUND(H26*$N$9,2)</f>
        <v>5192.8900000000003</v>
      </c>
      <c r="K26" s="19"/>
      <c r="L26" s="3"/>
    </row>
    <row r="27" spans="1:18" s="185" customFormat="1" ht="28.5" x14ac:dyDescent="0.2">
      <c r="A27" s="17" t="s">
        <v>149</v>
      </c>
      <c r="B27" s="55" t="s">
        <v>256</v>
      </c>
      <c r="C27" s="53" t="s">
        <v>27</v>
      </c>
      <c r="D27" s="48" t="s">
        <v>43</v>
      </c>
      <c r="E27" s="19">
        <f>ROUND(90,2)</f>
        <v>90</v>
      </c>
      <c r="F27" s="19">
        <v>569.13</v>
      </c>
      <c r="G27" s="19">
        <f>ROUND(F27,2)</f>
        <v>569.13</v>
      </c>
      <c r="H27" s="28">
        <f>ROUND(G27*E27,2)</f>
        <v>51221.7</v>
      </c>
      <c r="I27" s="19">
        <f>H27-J27</f>
        <v>42084.97</v>
      </c>
      <c r="J27" s="19">
        <f>ROUND(H27*$N$9,2)</f>
        <v>9136.73</v>
      </c>
      <c r="K27" s="19"/>
      <c r="L27" s="3"/>
    </row>
    <row r="28" spans="1:18" s="185" customFormat="1" ht="14.25" x14ac:dyDescent="0.2">
      <c r="A28" s="17"/>
      <c r="B28" s="46"/>
      <c r="C28" s="18"/>
      <c r="D28" s="47"/>
      <c r="E28" s="19"/>
      <c r="F28" s="19"/>
      <c r="G28" s="19"/>
      <c r="H28" s="28"/>
      <c r="I28" s="19"/>
      <c r="J28" s="19"/>
      <c r="K28" s="19"/>
      <c r="L28" s="3"/>
    </row>
    <row r="29" spans="1:18" s="185" customFormat="1" ht="22.5" x14ac:dyDescent="0.3">
      <c r="A29" s="17"/>
      <c r="B29" s="46"/>
      <c r="C29" s="70" t="s">
        <v>67</v>
      </c>
      <c r="D29" s="47"/>
      <c r="E29" s="19"/>
      <c r="F29" s="19"/>
      <c r="G29" s="19"/>
      <c r="H29" s="71">
        <f>ROUND(SUM(H24:H27),2)</f>
        <v>124093.75</v>
      </c>
      <c r="I29" s="71">
        <f>ROUND(SUM(I24:I27),2)</f>
        <v>101958.38</v>
      </c>
      <c r="J29" s="71">
        <f>ROUND(SUM(J24:J27),2)</f>
        <v>22135.37</v>
      </c>
      <c r="K29" s="19"/>
      <c r="L29" s="201">
        <f>I29+J29</f>
        <v>124093.75</v>
      </c>
      <c r="M29" s="185">
        <f>H29*$N$8</f>
        <v>101756.87507978285</v>
      </c>
      <c r="N29" s="185">
        <f>H29*$N$9</f>
        <v>22135.367627682219</v>
      </c>
    </row>
    <row r="30" spans="1:18" s="185" customFormat="1" ht="14.25" x14ac:dyDescent="0.2">
      <c r="A30" s="17"/>
      <c r="B30" s="46"/>
      <c r="C30" s="18"/>
      <c r="D30" s="18"/>
      <c r="E30" s="19"/>
      <c r="F30" s="19"/>
      <c r="G30" s="19"/>
      <c r="H30" s="28"/>
      <c r="I30" s="19"/>
      <c r="J30" s="19"/>
      <c r="K30" s="19"/>
      <c r="L30" s="3"/>
    </row>
    <row r="31" spans="1:18" s="185" customFormat="1" ht="28.5" x14ac:dyDescent="0.2">
      <c r="A31" s="17">
        <v>4</v>
      </c>
      <c r="B31" s="46"/>
      <c r="C31" s="51" t="s">
        <v>28</v>
      </c>
      <c r="D31" s="18"/>
      <c r="E31" s="19"/>
      <c r="F31" s="19"/>
      <c r="G31" s="19"/>
      <c r="H31" s="28"/>
      <c r="I31" s="19"/>
      <c r="J31" s="19"/>
      <c r="K31" s="19"/>
      <c r="L31" s="3"/>
      <c r="M31" s="184"/>
      <c r="P31" s="184"/>
      <c r="Q31" s="184"/>
      <c r="R31" s="184"/>
    </row>
    <row r="32" spans="1:18" s="185" customFormat="1" ht="185.25" x14ac:dyDescent="0.2">
      <c r="A32" s="17" t="s">
        <v>32</v>
      </c>
      <c r="B32" s="52" t="s">
        <v>257</v>
      </c>
      <c r="C32" s="204" t="s">
        <v>249</v>
      </c>
      <c r="D32" s="47" t="s">
        <v>41</v>
      </c>
      <c r="E32" s="19">
        <f>'QUANTITATIVO REDES'!D33</f>
        <v>8496.0000000000018</v>
      </c>
      <c r="F32" s="19">
        <v>280.23</v>
      </c>
      <c r="G32" s="19">
        <f>ROUND(F32,2)</f>
        <v>280.23</v>
      </c>
      <c r="H32" s="28">
        <f>ROUND(G32*E32,2)</f>
        <v>2380834.08</v>
      </c>
      <c r="I32" s="19">
        <f>H32-J32</f>
        <v>1956166.9900000002</v>
      </c>
      <c r="J32" s="19">
        <f>ROUND(H32*$N$9,2)-16.78-0.01-0.28-0.04+0.14</f>
        <v>424667.08999999997</v>
      </c>
      <c r="K32" s="19"/>
      <c r="L32" s="3"/>
      <c r="M32" s="184"/>
      <c r="P32" s="184"/>
      <c r="Q32" s="184"/>
      <c r="R32" s="184"/>
    </row>
    <row r="33" spans="1:18" s="185" customFormat="1" ht="185.25" x14ac:dyDescent="0.2">
      <c r="A33" s="17" t="s">
        <v>150</v>
      </c>
      <c r="B33" s="52" t="s">
        <v>258</v>
      </c>
      <c r="C33" s="204" t="s">
        <v>248</v>
      </c>
      <c r="D33" s="47" t="s">
        <v>41</v>
      </c>
      <c r="E33" s="19">
        <f>'QUANTITATIVO REDES'!D68</f>
        <v>1891.5900000000001</v>
      </c>
      <c r="F33" s="19">
        <v>263.14999999999998</v>
      </c>
      <c r="G33" s="19">
        <f>ROUND(F33,2)</f>
        <v>263.14999999999998</v>
      </c>
      <c r="H33" s="28">
        <f>ROUND(G33*E33,2)</f>
        <v>497771.91</v>
      </c>
      <c r="I33" s="19">
        <f>H33-J33</f>
        <v>408981.26</v>
      </c>
      <c r="J33" s="19">
        <f>ROUND(H33*$N$9,2)</f>
        <v>88790.65</v>
      </c>
      <c r="K33" s="19"/>
      <c r="L33" s="3"/>
      <c r="M33" s="184"/>
      <c r="P33" s="184"/>
      <c r="Q33" s="184"/>
      <c r="R33" s="184"/>
    </row>
    <row r="34" spans="1:18" s="185" customFormat="1" ht="185.25" x14ac:dyDescent="0.2">
      <c r="A34" s="17" t="s">
        <v>244</v>
      </c>
      <c r="B34" s="52" t="s">
        <v>259</v>
      </c>
      <c r="C34" s="204" t="s">
        <v>247</v>
      </c>
      <c r="D34" s="47" t="s">
        <v>41</v>
      </c>
      <c r="E34" s="19">
        <f>'QUANTITATIVO REDES'!D40</f>
        <v>1325.81</v>
      </c>
      <c r="F34" s="19">
        <v>452.62</v>
      </c>
      <c r="G34" s="19">
        <f>ROUND(F34,2)</f>
        <v>452.62</v>
      </c>
      <c r="H34" s="28">
        <f>ROUND(G34*E34,2)</f>
        <v>600088.12</v>
      </c>
      <c r="I34" s="19">
        <f>H34-J34</f>
        <v>493046.7</v>
      </c>
      <c r="J34" s="19">
        <f>ROUND(H34*$N$9,2)</f>
        <v>107041.42</v>
      </c>
      <c r="K34" s="19"/>
      <c r="L34" s="3"/>
      <c r="M34" s="184"/>
      <c r="P34" s="184"/>
      <c r="Q34" s="184"/>
      <c r="R34" s="184"/>
    </row>
    <row r="35" spans="1:18" s="185" customFormat="1" ht="185.25" x14ac:dyDescent="0.2">
      <c r="A35" s="17" t="s">
        <v>245</v>
      </c>
      <c r="B35" s="52" t="s">
        <v>260</v>
      </c>
      <c r="C35" s="204" t="s">
        <v>246</v>
      </c>
      <c r="D35" s="47" t="s">
        <v>41</v>
      </c>
      <c r="E35" s="19">
        <f>'QUANTITATIVO REDES'!D47</f>
        <v>665.3</v>
      </c>
      <c r="F35" s="19">
        <v>505.06</v>
      </c>
      <c r="G35" s="19">
        <f>ROUND(F35,2)</f>
        <v>505.06</v>
      </c>
      <c r="H35" s="28">
        <f>ROUND(G35*E35,2)</f>
        <v>336016.42</v>
      </c>
      <c r="I35" s="19">
        <f>H35-J35</f>
        <v>276079.09999999998</v>
      </c>
      <c r="J35" s="19">
        <f>ROUND(H35*$N$9,2)</f>
        <v>59937.32</v>
      </c>
      <c r="K35" s="19"/>
      <c r="L35" s="3"/>
      <c r="M35" s="184"/>
      <c r="P35" s="184"/>
      <c r="Q35" s="184"/>
      <c r="R35" s="184"/>
    </row>
    <row r="36" spans="1:18" s="185" customFormat="1" ht="14.25" x14ac:dyDescent="0.2">
      <c r="A36" s="17"/>
      <c r="B36" s="52"/>
      <c r="C36" s="53"/>
      <c r="D36" s="47"/>
      <c r="E36" s="19"/>
      <c r="F36" s="19"/>
      <c r="G36" s="19"/>
      <c r="H36" s="28"/>
      <c r="I36" s="19"/>
      <c r="J36" s="19"/>
      <c r="K36" s="19"/>
      <c r="L36" s="3"/>
      <c r="M36" s="184"/>
      <c r="P36" s="184"/>
      <c r="Q36" s="184"/>
      <c r="R36" s="184"/>
    </row>
    <row r="37" spans="1:18" s="185" customFormat="1" ht="22.5" x14ac:dyDescent="0.3">
      <c r="A37" s="17"/>
      <c r="B37" s="52"/>
      <c r="C37" s="70" t="s">
        <v>68</v>
      </c>
      <c r="D37" s="47"/>
      <c r="E37" s="19"/>
      <c r="F37" s="19"/>
      <c r="G37" s="19"/>
      <c r="H37" s="71">
        <f>ROUND(SUM(H32:H35),2)</f>
        <v>3814710.53</v>
      </c>
      <c r="I37" s="71">
        <f>ROUND(SUM(I32:I35),2)</f>
        <v>3134274.05</v>
      </c>
      <c r="J37" s="71">
        <f>ROUND(SUM(J32:J35),2)</f>
        <v>680436.48</v>
      </c>
      <c r="K37" s="19"/>
      <c r="L37" s="201">
        <f>I37+J37</f>
        <v>3814710.53</v>
      </c>
      <c r="M37" s="185">
        <f>H37*$N$8</f>
        <v>3128062.6370525686</v>
      </c>
      <c r="N37" s="185">
        <f>H37*$N$9</f>
        <v>680453.447290782</v>
      </c>
      <c r="P37" s="184"/>
      <c r="Q37" s="184"/>
      <c r="R37" s="184"/>
    </row>
    <row r="38" spans="1:18" s="185" customFormat="1" ht="14.25" x14ac:dyDescent="0.2">
      <c r="A38" s="17"/>
      <c r="B38" s="46"/>
      <c r="C38" s="18"/>
      <c r="D38" s="18"/>
      <c r="E38" s="19"/>
      <c r="F38" s="19"/>
      <c r="G38" s="19"/>
      <c r="H38" s="28"/>
      <c r="I38" s="19"/>
      <c r="J38" s="19"/>
      <c r="K38" s="19"/>
      <c r="L38" s="3"/>
      <c r="M38" s="184"/>
      <c r="P38" s="184"/>
      <c r="Q38" s="184"/>
      <c r="R38" s="184"/>
    </row>
    <row r="39" spans="1:18" s="185" customFormat="1" ht="28.5" x14ac:dyDescent="0.2">
      <c r="A39" s="17">
        <v>5</v>
      </c>
      <c r="B39" s="46"/>
      <c r="C39" s="49" t="s">
        <v>31</v>
      </c>
      <c r="D39" s="18"/>
      <c r="E39" s="19"/>
      <c r="F39" s="19"/>
      <c r="G39" s="19"/>
      <c r="H39" s="28"/>
      <c r="I39" s="19"/>
      <c r="J39" s="19"/>
      <c r="K39" s="19"/>
      <c r="L39" s="3"/>
      <c r="M39" s="184"/>
      <c r="P39" s="184"/>
      <c r="Q39" s="184"/>
      <c r="R39" s="184"/>
    </row>
    <row r="40" spans="1:18" s="185" customFormat="1" ht="71.25" x14ac:dyDescent="0.2">
      <c r="A40" s="17" t="s">
        <v>34</v>
      </c>
      <c r="B40" s="52" t="s">
        <v>261</v>
      </c>
      <c r="C40" s="53" t="s">
        <v>251</v>
      </c>
      <c r="D40" s="47" t="s">
        <v>43</v>
      </c>
      <c r="E40" s="19">
        <f>'QUANTITATIVO LIGAÇÕES'!D34</f>
        <v>1624</v>
      </c>
      <c r="F40" s="19">
        <v>450</v>
      </c>
      <c r="G40" s="19">
        <f>ROUND(F40,2)</f>
        <v>450</v>
      </c>
      <c r="H40" s="28">
        <f>ROUND(G40*E40,2)</f>
        <v>730800</v>
      </c>
      <c r="I40" s="19">
        <f>H40-J40</f>
        <v>600442.69999999995</v>
      </c>
      <c r="J40" s="19">
        <f>ROUND(H40*$N$9,2)</f>
        <v>130357.3</v>
      </c>
      <c r="K40" s="19"/>
      <c r="L40" s="3"/>
      <c r="M40" s="184"/>
      <c r="P40" s="184"/>
      <c r="Q40" s="184"/>
      <c r="R40" s="184"/>
    </row>
    <row r="41" spans="1:18" s="185" customFormat="1" ht="71.25" x14ac:dyDescent="0.2">
      <c r="A41" s="17" t="s">
        <v>230</v>
      </c>
      <c r="B41" s="52" t="s">
        <v>262</v>
      </c>
      <c r="C41" s="53" t="s">
        <v>250</v>
      </c>
      <c r="D41" s="47" t="s">
        <v>43</v>
      </c>
      <c r="E41" s="19">
        <f>'QUANTITATIVO LIGAÇÕES'!D67</f>
        <v>98</v>
      </c>
      <c r="F41" s="19">
        <v>550</v>
      </c>
      <c r="G41" s="19">
        <f>ROUND(F41,2)</f>
        <v>550</v>
      </c>
      <c r="H41" s="28">
        <f>ROUND(G41*E41,2)</f>
        <v>53900</v>
      </c>
      <c r="I41" s="19">
        <f>H41-J41</f>
        <v>44285.520000000004</v>
      </c>
      <c r="J41" s="19">
        <f>ROUND(H41*$N$9,2)</f>
        <v>9614.48</v>
      </c>
      <c r="K41" s="19"/>
      <c r="L41" s="3"/>
      <c r="M41" s="184"/>
      <c r="P41" s="184"/>
      <c r="Q41" s="184"/>
      <c r="R41" s="184"/>
    </row>
    <row r="42" spans="1:18" s="185" customFormat="1" ht="71.25" x14ac:dyDescent="0.2">
      <c r="A42" s="17" t="s">
        <v>231</v>
      </c>
      <c r="B42" s="52" t="s">
        <v>263</v>
      </c>
      <c r="C42" s="53" t="s">
        <v>252</v>
      </c>
      <c r="D42" s="47" t="s">
        <v>43</v>
      </c>
      <c r="E42" s="19">
        <f>'QUANTITATIVO LIGAÇÕES'!D100</f>
        <v>43</v>
      </c>
      <c r="F42" s="19">
        <v>850</v>
      </c>
      <c r="G42" s="19">
        <f>ROUND(F42,2)</f>
        <v>850</v>
      </c>
      <c r="H42" s="28">
        <f>ROUND(G42*E42,2)</f>
        <v>36550</v>
      </c>
      <c r="I42" s="19">
        <f>H42-J42</f>
        <v>30030.35</v>
      </c>
      <c r="J42" s="19">
        <f>ROUND(H42*$N$9,2)</f>
        <v>6519.65</v>
      </c>
      <c r="K42" s="19"/>
      <c r="L42" s="3"/>
      <c r="M42" s="184"/>
      <c r="P42" s="184"/>
      <c r="Q42" s="184"/>
      <c r="R42" s="184"/>
    </row>
    <row r="43" spans="1:18" s="185" customFormat="1" ht="14.25" x14ac:dyDescent="0.2">
      <c r="A43" s="17"/>
      <c r="B43" s="52"/>
      <c r="C43" s="53"/>
      <c r="D43" s="47"/>
      <c r="E43" s="19"/>
      <c r="F43" s="19"/>
      <c r="G43" s="19"/>
      <c r="H43" s="28"/>
      <c r="I43" s="19"/>
      <c r="J43" s="19"/>
      <c r="K43" s="19"/>
      <c r="L43" s="3"/>
      <c r="M43" s="184"/>
      <c r="P43" s="184"/>
      <c r="Q43" s="184"/>
      <c r="R43" s="184"/>
    </row>
    <row r="44" spans="1:18" s="185" customFormat="1" ht="22.5" x14ac:dyDescent="0.3">
      <c r="A44" s="17"/>
      <c r="B44" s="52"/>
      <c r="C44" s="70" t="s">
        <v>69</v>
      </c>
      <c r="D44" s="47"/>
      <c r="E44" s="19"/>
      <c r="F44" s="19"/>
      <c r="G44" s="19"/>
      <c r="H44" s="71">
        <f>ROUND(SUM(H40:H42),2)</f>
        <v>821250</v>
      </c>
      <c r="I44" s="71">
        <f>ROUND(SUM(I40:I42),2)</f>
        <v>674758.57</v>
      </c>
      <c r="J44" s="71">
        <f>ROUND(SUM(J40:J42),2)</f>
        <v>146491.43</v>
      </c>
      <c r="K44" s="19"/>
      <c r="L44" s="201">
        <f>I44+J44</f>
        <v>821250</v>
      </c>
      <c r="M44" s="185">
        <f>H44*$N$8</f>
        <v>673425.00052800134</v>
      </c>
      <c r="N44" s="185">
        <f>H44*$N$9</f>
        <v>146491.42816809085</v>
      </c>
      <c r="P44" s="184"/>
      <c r="Q44" s="184"/>
      <c r="R44" s="184"/>
    </row>
    <row r="45" spans="1:18" s="185" customFormat="1" ht="14.25" x14ac:dyDescent="0.2">
      <c r="A45" s="17"/>
      <c r="B45" s="46"/>
      <c r="C45" s="18"/>
      <c r="D45" s="18"/>
      <c r="E45" s="19"/>
      <c r="F45" s="19"/>
      <c r="G45" s="19"/>
      <c r="H45" s="28"/>
      <c r="I45" s="19"/>
      <c r="J45" s="19"/>
      <c r="K45" s="19"/>
      <c r="L45" s="3"/>
      <c r="M45" s="184"/>
      <c r="P45" s="184"/>
      <c r="Q45" s="184"/>
      <c r="R45" s="184"/>
    </row>
    <row r="46" spans="1:18" s="185" customFormat="1" ht="28.5" x14ac:dyDescent="0.2">
      <c r="A46" s="17">
        <v>6</v>
      </c>
      <c r="B46" s="46"/>
      <c r="C46" s="49" t="s">
        <v>33</v>
      </c>
      <c r="D46" s="18"/>
      <c r="E46" s="19"/>
      <c r="F46" s="19"/>
      <c r="G46" s="19"/>
      <c r="H46" s="28"/>
      <c r="I46" s="19"/>
      <c r="J46" s="19"/>
      <c r="K46" s="19"/>
      <c r="L46" s="3"/>
      <c r="M46" s="184"/>
      <c r="P46" s="184"/>
      <c r="Q46" s="184"/>
      <c r="R46" s="184"/>
    </row>
    <row r="47" spans="1:18" s="185" customFormat="1" ht="42.75" x14ac:dyDescent="0.2">
      <c r="A47" s="17" t="s">
        <v>38</v>
      </c>
      <c r="B47" s="52" t="s">
        <v>264</v>
      </c>
      <c r="C47" s="53" t="s">
        <v>35</v>
      </c>
      <c r="D47" s="47" t="s">
        <v>43</v>
      </c>
      <c r="E47" s="19">
        <f>ROUND(15,2)</f>
        <v>15</v>
      </c>
      <c r="F47" s="19">
        <v>424.71</v>
      </c>
      <c r="G47" s="19">
        <f>ROUND(F47,2)</f>
        <v>424.71</v>
      </c>
      <c r="H47" s="28">
        <f>ROUND(G47*E47,2)</f>
        <v>6370.65</v>
      </c>
      <c r="I47" s="19">
        <f>H47-J47</f>
        <v>5234.28</v>
      </c>
      <c r="J47" s="19">
        <f>ROUND(H47*$N$9,2)</f>
        <v>1136.3699999999999</v>
      </c>
      <c r="K47" s="19"/>
      <c r="L47" s="3"/>
      <c r="M47" s="184"/>
      <c r="P47" s="184"/>
      <c r="Q47" s="184"/>
      <c r="R47" s="184"/>
    </row>
    <row r="48" spans="1:18" s="185" customFormat="1" ht="28.5" x14ac:dyDescent="0.2">
      <c r="A48" s="17" t="s">
        <v>39</v>
      </c>
      <c r="B48" s="52" t="s">
        <v>265</v>
      </c>
      <c r="C48" s="53" t="s">
        <v>36</v>
      </c>
      <c r="D48" s="47" t="s">
        <v>43</v>
      </c>
      <c r="E48" s="19">
        <f>ROUND(15,2)</f>
        <v>15</v>
      </c>
      <c r="F48" s="19">
        <v>339.75</v>
      </c>
      <c r="G48" s="19">
        <f>ROUND(F48,2)</f>
        <v>339.75</v>
      </c>
      <c r="H48" s="28">
        <f>ROUND(G48*E48,2)</f>
        <v>5096.25</v>
      </c>
      <c r="I48" s="19">
        <f>H48-J48</f>
        <v>4187.2</v>
      </c>
      <c r="J48" s="19">
        <f>ROUND(H48*$N$9,2)</f>
        <v>909.05</v>
      </c>
      <c r="K48" s="19"/>
      <c r="L48" s="3"/>
      <c r="M48" s="184"/>
      <c r="P48" s="184"/>
      <c r="Q48" s="184"/>
      <c r="R48" s="184"/>
    </row>
    <row r="49" spans="1:18" s="185" customFormat="1" ht="14.25" x14ac:dyDescent="0.2">
      <c r="A49" s="17"/>
      <c r="B49" s="52"/>
      <c r="C49" s="53"/>
      <c r="D49" s="47"/>
      <c r="E49" s="19"/>
      <c r="F49" s="19"/>
      <c r="G49" s="19"/>
      <c r="H49" s="28"/>
      <c r="I49" s="19"/>
      <c r="J49" s="19"/>
      <c r="K49" s="19"/>
      <c r="L49" s="3"/>
      <c r="M49" s="184"/>
      <c r="P49" s="184"/>
      <c r="Q49" s="184"/>
      <c r="R49" s="184"/>
    </row>
    <row r="50" spans="1:18" s="185" customFormat="1" ht="22.5" x14ac:dyDescent="0.3">
      <c r="A50" s="17"/>
      <c r="B50" s="52"/>
      <c r="C50" s="70" t="s">
        <v>70</v>
      </c>
      <c r="D50" s="47"/>
      <c r="E50" s="19"/>
      <c r="F50" s="19"/>
      <c r="G50" s="19"/>
      <c r="H50" s="71">
        <f>ROUND(SUM(H47:H48),2)</f>
        <v>11466.9</v>
      </c>
      <c r="I50" s="71">
        <f>ROUND(SUM(I47:I48),2)</f>
        <v>9421.48</v>
      </c>
      <c r="J50" s="71">
        <f>ROUND(SUM(J47:J48),2)</f>
        <v>2045.42</v>
      </c>
      <c r="K50" s="19"/>
      <c r="L50" s="201">
        <f>I50+J50</f>
        <v>11466.9</v>
      </c>
      <c r="M50" s="185">
        <f>H50*$N$8</f>
        <v>9402.8580073723442</v>
      </c>
      <c r="N50" s="185">
        <f>H50*$N$9</f>
        <v>2045.4216836050907</v>
      </c>
      <c r="P50" s="184"/>
      <c r="Q50" s="184"/>
      <c r="R50" s="184"/>
    </row>
    <row r="51" spans="1:18" s="185" customFormat="1" ht="14.25" x14ac:dyDescent="0.2">
      <c r="A51" s="17"/>
      <c r="B51" s="46"/>
      <c r="C51" s="18"/>
      <c r="D51" s="18"/>
      <c r="E51" s="19"/>
      <c r="F51" s="19"/>
      <c r="G51" s="19"/>
      <c r="H51" s="28"/>
      <c r="I51" s="19"/>
      <c r="J51" s="19"/>
      <c r="K51" s="19"/>
      <c r="L51" s="3"/>
      <c r="M51" s="184"/>
      <c r="P51" s="184"/>
      <c r="Q51" s="184"/>
      <c r="R51" s="184"/>
    </row>
    <row r="52" spans="1:18" s="185" customFormat="1" ht="14.25" x14ac:dyDescent="0.2">
      <c r="A52" s="17">
        <v>7</v>
      </c>
      <c r="B52" s="46"/>
      <c r="C52" s="49" t="s">
        <v>37</v>
      </c>
      <c r="D52" s="18"/>
      <c r="E52" s="19"/>
      <c r="F52" s="19"/>
      <c r="G52" s="19"/>
      <c r="H52" s="28"/>
      <c r="I52" s="19"/>
      <c r="J52" s="19"/>
      <c r="K52" s="19"/>
      <c r="L52" s="3"/>
      <c r="M52" s="184"/>
      <c r="P52" s="184"/>
      <c r="Q52" s="184"/>
      <c r="R52" s="184"/>
    </row>
    <row r="53" spans="1:18" s="185" customFormat="1" ht="99.75" x14ac:dyDescent="0.2">
      <c r="A53" s="17" t="s">
        <v>47</v>
      </c>
      <c r="B53" s="54" t="s">
        <v>141</v>
      </c>
      <c r="C53" s="204" t="s">
        <v>142</v>
      </c>
      <c r="D53" s="47" t="s">
        <v>44</v>
      </c>
      <c r="E53" s="19">
        <f>ROUND('QUANTITATIVO DE ABERTURAS'!D547,2)</f>
        <v>1839.9</v>
      </c>
      <c r="F53" s="19">
        <v>13.76</v>
      </c>
      <c r="G53" s="19">
        <f t="shared" ref="G53:G59" si="0">ROUND(F53*1.3271,2)</f>
        <v>18.260000000000002</v>
      </c>
      <c r="H53" s="28">
        <f t="shared" ref="H53:H59" si="1">ROUND(G53*E53,2)</f>
        <v>33596.57</v>
      </c>
      <c r="I53" s="19">
        <f t="shared" ref="I53:I59" si="2">H53-J53</f>
        <v>27603.739999999998</v>
      </c>
      <c r="J53" s="19">
        <f t="shared" ref="J53:J59" si="3">ROUND(H53*$N$9,2)</f>
        <v>5992.83</v>
      </c>
      <c r="K53" s="19"/>
      <c r="L53" s="3"/>
      <c r="M53" s="184"/>
      <c r="P53" s="184"/>
      <c r="Q53" s="184"/>
      <c r="R53" s="184"/>
    </row>
    <row r="54" spans="1:18" s="185" customFormat="1" ht="57" x14ac:dyDescent="0.2">
      <c r="A54" s="17" t="s">
        <v>48</v>
      </c>
      <c r="B54" s="54" t="s">
        <v>40</v>
      </c>
      <c r="C54" s="204" t="s">
        <v>139</v>
      </c>
      <c r="D54" s="47" t="s">
        <v>44</v>
      </c>
      <c r="E54" s="19">
        <f>ROUND('QUANTITATIVO DE ABERTURAS'!D547*1.3,2)</f>
        <v>2391.87</v>
      </c>
      <c r="F54" s="19">
        <v>1.6</v>
      </c>
      <c r="G54" s="19">
        <f t="shared" si="0"/>
        <v>2.12</v>
      </c>
      <c r="H54" s="28">
        <f t="shared" si="1"/>
        <v>5070.76</v>
      </c>
      <c r="I54" s="19">
        <f t="shared" si="2"/>
        <v>4166.26</v>
      </c>
      <c r="J54" s="19">
        <f t="shared" si="3"/>
        <v>904.5</v>
      </c>
      <c r="K54" s="19"/>
      <c r="L54" s="3"/>
      <c r="M54" s="184"/>
      <c r="P54" s="184"/>
      <c r="Q54" s="184"/>
      <c r="R54" s="184"/>
    </row>
    <row r="55" spans="1:18" s="185" customFormat="1" ht="42.75" x14ac:dyDescent="0.2">
      <c r="A55" s="17" t="s">
        <v>49</v>
      </c>
      <c r="B55" s="54" t="s">
        <v>266</v>
      </c>
      <c r="C55" s="204" t="s">
        <v>267</v>
      </c>
      <c r="D55" s="47" t="s">
        <v>45</v>
      </c>
      <c r="E55" s="19">
        <f>ROUND(E53*1.3*10,2)</f>
        <v>23918.7</v>
      </c>
      <c r="F55" s="19">
        <v>1.22</v>
      </c>
      <c r="G55" s="19">
        <f t="shared" si="0"/>
        <v>1.62</v>
      </c>
      <c r="H55" s="28">
        <f t="shared" si="1"/>
        <v>38748.29</v>
      </c>
      <c r="I55" s="19">
        <f t="shared" si="2"/>
        <v>31836.52</v>
      </c>
      <c r="J55" s="19">
        <f t="shared" si="3"/>
        <v>6911.77</v>
      </c>
      <c r="K55" s="19"/>
      <c r="L55" s="3"/>
      <c r="M55" s="184"/>
      <c r="P55" s="184"/>
      <c r="Q55" s="184"/>
      <c r="R55" s="184"/>
    </row>
    <row r="56" spans="1:18" s="185" customFormat="1" ht="28.5" x14ac:dyDescent="0.2">
      <c r="A56" s="17" t="s">
        <v>151</v>
      </c>
      <c r="B56" s="54" t="s">
        <v>268</v>
      </c>
      <c r="C56" s="204" t="s">
        <v>134</v>
      </c>
      <c r="D56" s="47" t="s">
        <v>44</v>
      </c>
      <c r="E56" s="19">
        <f>ROUND('QUANTITATIVO DE ABERTURAS'!D552,2)</f>
        <v>2059.1999999999998</v>
      </c>
      <c r="F56" s="19">
        <v>23.37</v>
      </c>
      <c r="G56" s="19">
        <f t="shared" si="0"/>
        <v>31.01</v>
      </c>
      <c r="H56" s="28">
        <f t="shared" si="1"/>
        <v>63855.79</v>
      </c>
      <c r="I56" s="19">
        <f t="shared" si="2"/>
        <v>52465.440000000002</v>
      </c>
      <c r="J56" s="19">
        <f t="shared" si="3"/>
        <v>11390.35</v>
      </c>
      <c r="K56" s="19"/>
      <c r="L56" s="3"/>
      <c r="M56" s="184"/>
      <c r="P56" s="184"/>
      <c r="Q56" s="184"/>
      <c r="R56" s="184"/>
    </row>
    <row r="57" spans="1:18" s="185" customFormat="1" ht="57" x14ac:dyDescent="0.2">
      <c r="A57" s="17" t="s">
        <v>152</v>
      </c>
      <c r="B57" s="54" t="s">
        <v>40</v>
      </c>
      <c r="C57" s="204" t="s">
        <v>139</v>
      </c>
      <c r="D57" s="47" t="s">
        <v>44</v>
      </c>
      <c r="E57" s="19">
        <f>ROUND('QUANTITATIVO DE ABERTURAS'!D552,2)</f>
        <v>2059.1999999999998</v>
      </c>
      <c r="F57" s="19">
        <v>1.6</v>
      </c>
      <c r="G57" s="19">
        <f t="shared" si="0"/>
        <v>2.12</v>
      </c>
      <c r="H57" s="28">
        <f t="shared" si="1"/>
        <v>4365.5</v>
      </c>
      <c r="I57" s="19">
        <f t="shared" si="2"/>
        <v>3586.8</v>
      </c>
      <c r="J57" s="19">
        <f t="shared" si="3"/>
        <v>778.7</v>
      </c>
      <c r="K57" s="19"/>
      <c r="L57" s="3"/>
      <c r="M57" s="184"/>
      <c r="P57" s="184"/>
      <c r="Q57" s="184"/>
      <c r="R57" s="184"/>
    </row>
    <row r="58" spans="1:18" s="185" customFormat="1" ht="42.75" x14ac:dyDescent="0.2">
      <c r="A58" s="17" t="s">
        <v>153</v>
      </c>
      <c r="B58" s="54" t="s">
        <v>266</v>
      </c>
      <c r="C58" s="204" t="s">
        <v>267</v>
      </c>
      <c r="D58" s="47" t="s">
        <v>45</v>
      </c>
      <c r="E58" s="19">
        <f>ROUND(E57*10,2)</f>
        <v>20592</v>
      </c>
      <c r="F58" s="19">
        <v>1.22</v>
      </c>
      <c r="G58" s="19">
        <f t="shared" si="0"/>
        <v>1.62</v>
      </c>
      <c r="H58" s="28">
        <f t="shared" si="1"/>
        <v>33359.040000000001</v>
      </c>
      <c r="I58" s="19">
        <f t="shared" si="2"/>
        <v>27408.58</v>
      </c>
      <c r="J58" s="19">
        <f t="shared" si="3"/>
        <v>5950.46</v>
      </c>
      <c r="K58" s="19"/>
      <c r="L58" s="3"/>
      <c r="M58" s="184"/>
      <c r="P58" s="184"/>
      <c r="Q58" s="184"/>
      <c r="R58" s="184"/>
    </row>
    <row r="59" spans="1:18" s="185" customFormat="1" ht="28.5" x14ac:dyDescent="0.2">
      <c r="A59" s="17" t="s">
        <v>154</v>
      </c>
      <c r="B59" s="54" t="s">
        <v>185</v>
      </c>
      <c r="C59" s="204" t="s">
        <v>184</v>
      </c>
      <c r="D59" s="47" t="s">
        <v>44</v>
      </c>
      <c r="E59" s="19">
        <f>ROUND('QUANTITATIVO DE ABERTURAS'!D552,2)</f>
        <v>2059.1999999999998</v>
      </c>
      <c r="F59" s="19">
        <f>ROUND(22.64,2)</f>
        <v>22.64</v>
      </c>
      <c r="G59" s="19">
        <f t="shared" si="0"/>
        <v>30.05</v>
      </c>
      <c r="H59" s="28">
        <f t="shared" si="1"/>
        <v>61878.96</v>
      </c>
      <c r="I59" s="19">
        <f t="shared" si="2"/>
        <v>50841.229999999996</v>
      </c>
      <c r="J59" s="19">
        <f t="shared" si="3"/>
        <v>11037.73</v>
      </c>
      <c r="K59" s="19"/>
      <c r="L59" s="3"/>
      <c r="M59" s="184"/>
      <c r="P59" s="184"/>
      <c r="Q59" s="184"/>
      <c r="R59" s="184"/>
    </row>
    <row r="60" spans="1:18" s="185" customFormat="1" ht="14.25" x14ac:dyDescent="0.2">
      <c r="A60" s="17"/>
      <c r="B60" s="54"/>
      <c r="C60" s="53"/>
      <c r="D60" s="47"/>
      <c r="E60" s="19"/>
      <c r="F60" s="19"/>
      <c r="G60" s="19"/>
      <c r="H60" s="28"/>
      <c r="I60" s="19"/>
      <c r="J60" s="19"/>
      <c r="K60" s="19"/>
      <c r="L60" s="3"/>
      <c r="M60" s="184"/>
      <c r="P60" s="184"/>
      <c r="Q60" s="184"/>
      <c r="R60" s="184"/>
    </row>
    <row r="61" spans="1:18" s="185" customFormat="1" ht="22.5" x14ac:dyDescent="0.3">
      <c r="A61" s="17"/>
      <c r="B61" s="54"/>
      <c r="C61" s="70" t="s">
        <v>71</v>
      </c>
      <c r="D61" s="47"/>
      <c r="E61" s="19"/>
      <c r="F61" s="19"/>
      <c r="G61" s="19"/>
      <c r="H61" s="71">
        <f>ROUND(SUM(H53:H59),2)</f>
        <v>240874.91</v>
      </c>
      <c r="I61" s="71">
        <f>ROUND(SUM(I53:I59),2)</f>
        <v>197908.57</v>
      </c>
      <c r="J61" s="71">
        <f>ROUND(SUM(J53:J59),2)</f>
        <v>42966.34</v>
      </c>
      <c r="K61" s="19"/>
      <c r="L61" s="201">
        <f>I61+J61</f>
        <v>240874.91</v>
      </c>
      <c r="M61" s="185">
        <f>H61*$N$8</f>
        <v>197517.42635486426</v>
      </c>
      <c r="N61" s="185">
        <f>H61*$N$9</f>
        <v>42966.343471245476</v>
      </c>
      <c r="P61" s="184"/>
      <c r="Q61" s="184"/>
      <c r="R61" s="184"/>
    </row>
    <row r="62" spans="1:18" s="185" customFormat="1" ht="14.25" x14ac:dyDescent="0.2">
      <c r="A62" s="17"/>
      <c r="B62" s="46"/>
      <c r="C62" s="18"/>
      <c r="D62" s="18"/>
      <c r="E62" s="19"/>
      <c r="F62" s="19"/>
      <c r="G62" s="19"/>
      <c r="H62" s="28"/>
      <c r="I62" s="19"/>
      <c r="J62" s="19"/>
      <c r="K62" s="19"/>
      <c r="L62" s="3"/>
      <c r="M62" s="184"/>
      <c r="P62" s="184"/>
      <c r="Q62" s="184"/>
      <c r="R62" s="184"/>
    </row>
    <row r="63" spans="1:18" s="185" customFormat="1" ht="28.5" x14ac:dyDescent="0.2">
      <c r="A63" s="17">
        <v>8</v>
      </c>
      <c r="B63" s="46"/>
      <c r="C63" s="49" t="s">
        <v>46</v>
      </c>
      <c r="D63" s="18"/>
      <c r="E63" s="19"/>
      <c r="F63" s="19"/>
      <c r="G63" s="19"/>
      <c r="H63" s="28"/>
      <c r="I63" s="19"/>
      <c r="J63" s="19"/>
      <c r="K63" s="19"/>
      <c r="L63" s="3"/>
      <c r="M63" s="184"/>
      <c r="P63" s="184"/>
      <c r="Q63" s="184"/>
      <c r="R63" s="184"/>
    </row>
    <row r="64" spans="1:18" s="185" customFormat="1" ht="42.75" x14ac:dyDescent="0.2">
      <c r="A64" s="17" t="s">
        <v>51</v>
      </c>
      <c r="B64" s="52" t="s">
        <v>271</v>
      </c>
      <c r="C64" s="53" t="s">
        <v>232</v>
      </c>
      <c r="D64" s="47" t="s">
        <v>43</v>
      </c>
      <c r="E64" s="19">
        <v>9</v>
      </c>
      <c r="F64" s="19">
        <v>340</v>
      </c>
      <c r="G64" s="19">
        <f>ROUND(F64*1.2245,2)</f>
        <v>416.33</v>
      </c>
      <c r="H64" s="28">
        <f t="shared" ref="H64:H69" si="4">ROUND(G64*E64,2)</f>
        <v>3746.97</v>
      </c>
      <c r="I64" s="19">
        <f t="shared" ref="I64:I82" si="5">H64-J64</f>
        <v>3078.6</v>
      </c>
      <c r="J64" s="19">
        <f t="shared" ref="J64:J82" si="6">ROUND(H64*$N$9,2)</f>
        <v>668.37</v>
      </c>
      <c r="K64" s="19"/>
      <c r="L64" s="3"/>
      <c r="M64" s="184"/>
      <c r="P64" s="184"/>
      <c r="Q64" s="184"/>
      <c r="R64" s="184"/>
    </row>
    <row r="65" spans="1:18" s="185" customFormat="1" ht="14.25" x14ac:dyDescent="0.2">
      <c r="A65" s="17" t="s">
        <v>52</v>
      </c>
      <c r="B65" s="52" t="s">
        <v>274</v>
      </c>
      <c r="C65" s="53" t="s">
        <v>175</v>
      </c>
      <c r="D65" s="47" t="s">
        <v>43</v>
      </c>
      <c r="E65" s="19">
        <f>E64*2</f>
        <v>18</v>
      </c>
      <c r="F65" s="19">
        <v>14.82</v>
      </c>
      <c r="G65" s="19">
        <f>ROUND(F65*1.2245,2)</f>
        <v>18.149999999999999</v>
      </c>
      <c r="H65" s="28">
        <f t="shared" si="4"/>
        <v>326.7</v>
      </c>
      <c r="I65" s="19">
        <f t="shared" si="5"/>
        <v>268.41999999999996</v>
      </c>
      <c r="J65" s="19">
        <f t="shared" si="6"/>
        <v>58.28</v>
      </c>
      <c r="K65" s="19"/>
      <c r="L65" s="3"/>
      <c r="M65" s="184"/>
      <c r="P65" s="184"/>
      <c r="Q65" s="184"/>
      <c r="R65" s="184"/>
    </row>
    <row r="66" spans="1:18" s="185" customFormat="1" ht="14.25" x14ac:dyDescent="0.2">
      <c r="A66" s="17" t="s">
        <v>53</v>
      </c>
      <c r="B66" s="52" t="s">
        <v>272</v>
      </c>
      <c r="C66" s="53" t="s">
        <v>176</v>
      </c>
      <c r="D66" s="47" t="s">
        <v>43</v>
      </c>
      <c r="E66" s="19">
        <f>E64*2</f>
        <v>18</v>
      </c>
      <c r="F66" s="19">
        <v>67.13</v>
      </c>
      <c r="G66" s="19">
        <f>ROUND(F66*1.2245,2)</f>
        <v>82.2</v>
      </c>
      <c r="H66" s="28">
        <f t="shared" si="4"/>
        <v>1479.6</v>
      </c>
      <c r="I66" s="19">
        <f t="shared" si="5"/>
        <v>1215.6699999999998</v>
      </c>
      <c r="J66" s="19">
        <f t="shared" si="6"/>
        <v>263.93</v>
      </c>
      <c r="K66" s="19"/>
      <c r="L66" s="3"/>
      <c r="M66" s="184"/>
      <c r="P66" s="184"/>
      <c r="Q66" s="184"/>
      <c r="R66" s="184"/>
    </row>
    <row r="67" spans="1:18" s="185" customFormat="1" ht="14.25" x14ac:dyDescent="0.2">
      <c r="A67" s="17" t="s">
        <v>165</v>
      </c>
      <c r="B67" s="52" t="s">
        <v>273</v>
      </c>
      <c r="C67" s="53" t="s">
        <v>177</v>
      </c>
      <c r="D67" s="47" t="s">
        <v>43</v>
      </c>
      <c r="E67" s="19">
        <f>E64*2</f>
        <v>18</v>
      </c>
      <c r="F67" s="19">
        <v>16.010000000000002</v>
      </c>
      <c r="G67" s="19">
        <f>ROUND(F67*1.2245,2)</f>
        <v>19.600000000000001</v>
      </c>
      <c r="H67" s="28">
        <f t="shared" si="4"/>
        <v>352.8</v>
      </c>
      <c r="I67" s="19">
        <f t="shared" si="5"/>
        <v>289.87</v>
      </c>
      <c r="J67" s="19">
        <f t="shared" si="6"/>
        <v>62.93</v>
      </c>
      <c r="K67" s="19"/>
      <c r="L67" s="3"/>
      <c r="M67" s="184"/>
      <c r="P67" s="184"/>
      <c r="Q67" s="184"/>
      <c r="R67" s="184"/>
    </row>
    <row r="68" spans="1:18" s="185" customFormat="1" ht="28.5" x14ac:dyDescent="0.2">
      <c r="A68" s="17" t="s">
        <v>166</v>
      </c>
      <c r="B68" s="52" t="s">
        <v>197</v>
      </c>
      <c r="C68" s="53" t="s">
        <v>194</v>
      </c>
      <c r="D68" s="47" t="s">
        <v>43</v>
      </c>
      <c r="E68" s="19">
        <f>E64*2</f>
        <v>18</v>
      </c>
      <c r="F68" s="19">
        <v>64.540000000000006</v>
      </c>
      <c r="G68" s="19">
        <f>ROUND(F68*1.3271,2)</f>
        <v>85.65</v>
      </c>
      <c r="H68" s="28">
        <f t="shared" si="4"/>
        <v>1541.7</v>
      </c>
      <c r="I68" s="19">
        <f t="shared" si="5"/>
        <v>1266.7</v>
      </c>
      <c r="J68" s="19">
        <f t="shared" si="6"/>
        <v>275</v>
      </c>
      <c r="K68" s="19"/>
      <c r="L68" s="3"/>
      <c r="M68" s="184"/>
      <c r="P68" s="184"/>
      <c r="Q68" s="184"/>
      <c r="R68" s="184"/>
    </row>
    <row r="69" spans="1:18" s="185" customFormat="1" ht="28.5" x14ac:dyDescent="0.2">
      <c r="A69" s="17" t="s">
        <v>167</v>
      </c>
      <c r="B69" s="52" t="s">
        <v>275</v>
      </c>
      <c r="C69" s="53" t="s">
        <v>181</v>
      </c>
      <c r="D69" s="47" t="s">
        <v>43</v>
      </c>
      <c r="E69" s="19">
        <f>E64</f>
        <v>9</v>
      </c>
      <c r="F69" s="19">
        <v>61.05</v>
      </c>
      <c r="G69" s="19">
        <f>ROUND(F69*1.3271,2)</f>
        <v>81.02</v>
      </c>
      <c r="H69" s="28">
        <f t="shared" si="4"/>
        <v>729.18</v>
      </c>
      <c r="I69" s="19">
        <f t="shared" si="5"/>
        <v>599.1099999999999</v>
      </c>
      <c r="J69" s="19">
        <f t="shared" si="6"/>
        <v>130.07</v>
      </c>
      <c r="K69" s="19"/>
      <c r="L69" s="3"/>
      <c r="M69" s="184"/>
      <c r="P69" s="184"/>
      <c r="Q69" s="184"/>
      <c r="R69" s="184"/>
    </row>
    <row r="70" spans="1:18" s="185" customFormat="1" ht="42.75" x14ac:dyDescent="0.2">
      <c r="A70" s="17" t="s">
        <v>168</v>
      </c>
      <c r="B70" s="52" t="s">
        <v>278</v>
      </c>
      <c r="C70" s="53" t="s">
        <v>233</v>
      </c>
      <c r="D70" s="47" t="s">
        <v>43</v>
      </c>
      <c r="E70" s="19">
        <v>3</v>
      </c>
      <c r="F70" s="19">
        <v>620</v>
      </c>
      <c r="G70" s="19">
        <f>ROUND(F70*1.2245,2)</f>
        <v>759.19</v>
      </c>
      <c r="H70" s="28">
        <f t="shared" ref="H70:H79" si="7">ROUND(G70*E70,2)</f>
        <v>2277.5700000000002</v>
      </c>
      <c r="I70" s="19">
        <f t="shared" si="5"/>
        <v>1871.3100000000002</v>
      </c>
      <c r="J70" s="19">
        <f t="shared" si="6"/>
        <v>406.26</v>
      </c>
      <c r="K70" s="19"/>
      <c r="L70" s="3"/>
      <c r="M70" s="184"/>
      <c r="P70" s="184"/>
      <c r="Q70" s="184"/>
      <c r="R70" s="184"/>
    </row>
    <row r="71" spans="1:18" s="185" customFormat="1" ht="14.25" x14ac:dyDescent="0.2">
      <c r="A71" s="17" t="s">
        <v>169</v>
      </c>
      <c r="B71" s="52" t="s">
        <v>279</v>
      </c>
      <c r="C71" s="53" t="s">
        <v>178</v>
      </c>
      <c r="D71" s="47" t="s">
        <v>43</v>
      </c>
      <c r="E71" s="19">
        <f>E70*2</f>
        <v>6</v>
      </c>
      <c r="F71" s="19">
        <v>33.96</v>
      </c>
      <c r="G71" s="19">
        <f>ROUND(F71*1.2245,2)</f>
        <v>41.58</v>
      </c>
      <c r="H71" s="28">
        <f t="shared" si="7"/>
        <v>249.48</v>
      </c>
      <c r="I71" s="19">
        <f t="shared" si="5"/>
        <v>204.98</v>
      </c>
      <c r="J71" s="19">
        <f t="shared" si="6"/>
        <v>44.5</v>
      </c>
      <c r="K71" s="19"/>
      <c r="L71" s="3"/>
      <c r="M71" s="184"/>
      <c r="P71" s="184"/>
      <c r="Q71" s="184"/>
      <c r="R71" s="184"/>
    </row>
    <row r="72" spans="1:18" s="185" customFormat="1" ht="14.25" x14ac:dyDescent="0.2">
      <c r="A72" s="17" t="s">
        <v>170</v>
      </c>
      <c r="B72" s="52" t="s">
        <v>280</v>
      </c>
      <c r="C72" s="53" t="s">
        <v>179</v>
      </c>
      <c r="D72" s="47" t="s">
        <v>43</v>
      </c>
      <c r="E72" s="19">
        <f>E70*2</f>
        <v>6</v>
      </c>
      <c r="F72" s="19">
        <v>115.9</v>
      </c>
      <c r="G72" s="19">
        <f>ROUND(F72*1.2245,2)</f>
        <v>141.91999999999999</v>
      </c>
      <c r="H72" s="28">
        <f t="shared" si="7"/>
        <v>851.52</v>
      </c>
      <c r="I72" s="19">
        <f t="shared" si="5"/>
        <v>699.63</v>
      </c>
      <c r="J72" s="19">
        <f t="shared" si="6"/>
        <v>151.88999999999999</v>
      </c>
      <c r="K72" s="19"/>
      <c r="L72" s="3"/>
      <c r="M72" s="184"/>
      <c r="P72" s="184"/>
      <c r="Q72" s="184"/>
      <c r="R72" s="184"/>
    </row>
    <row r="73" spans="1:18" s="185" customFormat="1" ht="14.25" x14ac:dyDescent="0.2">
      <c r="A73" s="17" t="s">
        <v>171</v>
      </c>
      <c r="B73" s="52" t="s">
        <v>281</v>
      </c>
      <c r="C73" s="53" t="s">
        <v>180</v>
      </c>
      <c r="D73" s="47" t="s">
        <v>43</v>
      </c>
      <c r="E73" s="19">
        <f>E70*2</f>
        <v>6</v>
      </c>
      <c r="F73" s="19">
        <v>37.770000000000003</v>
      </c>
      <c r="G73" s="19">
        <f>ROUND(F73*1.2245,2)</f>
        <v>46.25</v>
      </c>
      <c r="H73" s="28">
        <f t="shared" si="7"/>
        <v>277.5</v>
      </c>
      <c r="I73" s="19">
        <f t="shared" si="5"/>
        <v>228</v>
      </c>
      <c r="J73" s="19">
        <f t="shared" si="6"/>
        <v>49.5</v>
      </c>
      <c r="K73" s="19"/>
      <c r="L73" s="3"/>
      <c r="M73" s="184"/>
      <c r="P73" s="184"/>
      <c r="Q73" s="184"/>
      <c r="R73" s="184"/>
    </row>
    <row r="74" spans="1:18" s="185" customFormat="1" ht="28.5" x14ac:dyDescent="0.2">
      <c r="A74" s="17" t="s">
        <v>172</v>
      </c>
      <c r="B74" s="52" t="s">
        <v>198</v>
      </c>
      <c r="C74" s="53" t="s">
        <v>193</v>
      </c>
      <c r="D74" s="47" t="s">
        <v>43</v>
      </c>
      <c r="E74" s="19">
        <f>E70*2</f>
        <v>6</v>
      </c>
      <c r="F74" s="19">
        <v>81.5</v>
      </c>
      <c r="G74" s="19">
        <f>ROUND(F74*1.3271,2)</f>
        <v>108.16</v>
      </c>
      <c r="H74" s="28">
        <f t="shared" si="7"/>
        <v>648.96</v>
      </c>
      <c r="I74" s="19">
        <f t="shared" si="5"/>
        <v>533.20000000000005</v>
      </c>
      <c r="J74" s="19">
        <f t="shared" si="6"/>
        <v>115.76</v>
      </c>
      <c r="K74" s="19"/>
      <c r="L74" s="3"/>
      <c r="M74" s="184"/>
      <c r="P74" s="184"/>
      <c r="Q74" s="184"/>
      <c r="R74" s="184"/>
    </row>
    <row r="75" spans="1:18" s="185" customFormat="1" ht="28.5" x14ac:dyDescent="0.2">
      <c r="A75" s="17" t="s">
        <v>173</v>
      </c>
      <c r="B75" s="52" t="s">
        <v>276</v>
      </c>
      <c r="C75" s="53" t="s">
        <v>182</v>
      </c>
      <c r="D75" s="47" t="s">
        <v>43</v>
      </c>
      <c r="E75" s="19">
        <f>E70</f>
        <v>3</v>
      </c>
      <c r="F75" s="19">
        <v>118.15</v>
      </c>
      <c r="G75" s="19">
        <f>ROUND(F75*1.3271,2)</f>
        <v>156.80000000000001</v>
      </c>
      <c r="H75" s="28">
        <f t="shared" si="7"/>
        <v>470.4</v>
      </c>
      <c r="I75" s="19">
        <f t="shared" si="5"/>
        <v>386.49</v>
      </c>
      <c r="J75" s="19">
        <f t="shared" si="6"/>
        <v>83.91</v>
      </c>
      <c r="K75" s="19"/>
      <c r="L75" s="3"/>
      <c r="M75" s="184"/>
      <c r="P75" s="184"/>
      <c r="Q75" s="184"/>
      <c r="R75" s="184"/>
    </row>
    <row r="76" spans="1:18" s="185" customFormat="1" ht="42.75" x14ac:dyDescent="0.2">
      <c r="A76" s="17" t="s">
        <v>174</v>
      </c>
      <c r="B76" s="52" t="s">
        <v>282</v>
      </c>
      <c r="C76" s="53" t="s">
        <v>234</v>
      </c>
      <c r="D76" s="47" t="s">
        <v>43</v>
      </c>
      <c r="E76" s="19">
        <v>2</v>
      </c>
      <c r="F76" s="19">
        <v>1000</v>
      </c>
      <c r="G76" s="19">
        <f>ROUND(F76*1.2245,2)</f>
        <v>1224.5</v>
      </c>
      <c r="H76" s="28">
        <f t="shared" si="7"/>
        <v>2449</v>
      </c>
      <c r="I76" s="19">
        <f t="shared" si="5"/>
        <v>2012.16</v>
      </c>
      <c r="J76" s="19">
        <f t="shared" si="6"/>
        <v>436.84</v>
      </c>
      <c r="K76" s="19"/>
      <c r="L76" s="3"/>
      <c r="M76" s="184"/>
      <c r="P76" s="184"/>
      <c r="Q76" s="184"/>
      <c r="R76" s="184"/>
    </row>
    <row r="77" spans="1:18" s="185" customFormat="1" ht="14.25" x14ac:dyDescent="0.2">
      <c r="A77" s="17" t="s">
        <v>187</v>
      </c>
      <c r="B77" s="52" t="s">
        <v>283</v>
      </c>
      <c r="C77" s="53" t="s">
        <v>235</v>
      </c>
      <c r="D77" s="47" t="s">
        <v>43</v>
      </c>
      <c r="E77" s="19">
        <f>E76*2</f>
        <v>4</v>
      </c>
      <c r="F77" s="19">
        <v>75.930000000000007</v>
      </c>
      <c r="G77" s="19">
        <f>ROUND(F77*1.2245,2)</f>
        <v>92.98</v>
      </c>
      <c r="H77" s="28">
        <f t="shared" si="7"/>
        <v>371.92</v>
      </c>
      <c r="I77" s="19">
        <f t="shared" si="5"/>
        <v>305.58000000000004</v>
      </c>
      <c r="J77" s="19">
        <f t="shared" si="6"/>
        <v>66.34</v>
      </c>
      <c r="K77" s="19"/>
      <c r="L77" s="3"/>
      <c r="M77" s="184"/>
      <c r="P77" s="184"/>
      <c r="Q77" s="184"/>
      <c r="R77" s="184"/>
    </row>
    <row r="78" spans="1:18" s="185" customFormat="1" ht="14.25" x14ac:dyDescent="0.2">
      <c r="A78" s="17" t="s">
        <v>188</v>
      </c>
      <c r="B78" s="52" t="s">
        <v>284</v>
      </c>
      <c r="C78" s="53" t="s">
        <v>236</v>
      </c>
      <c r="D78" s="47" t="s">
        <v>43</v>
      </c>
      <c r="E78" s="19">
        <f>E76*2</f>
        <v>4</v>
      </c>
      <c r="F78" s="19">
        <v>172.31</v>
      </c>
      <c r="G78" s="19">
        <f>ROUND(F78*1.2245,2)</f>
        <v>210.99</v>
      </c>
      <c r="H78" s="28">
        <f t="shared" si="7"/>
        <v>843.96</v>
      </c>
      <c r="I78" s="19">
        <f t="shared" si="5"/>
        <v>693.42000000000007</v>
      </c>
      <c r="J78" s="19">
        <f t="shared" si="6"/>
        <v>150.54</v>
      </c>
      <c r="K78" s="19"/>
      <c r="L78" s="3"/>
      <c r="M78" s="184"/>
      <c r="P78" s="184"/>
      <c r="Q78" s="184"/>
      <c r="R78" s="184"/>
    </row>
    <row r="79" spans="1:18" s="185" customFormat="1" ht="14.25" x14ac:dyDescent="0.2">
      <c r="A79" s="17" t="s">
        <v>189</v>
      </c>
      <c r="B79" s="52" t="s">
        <v>285</v>
      </c>
      <c r="C79" s="53" t="s">
        <v>237</v>
      </c>
      <c r="D79" s="47" t="s">
        <v>43</v>
      </c>
      <c r="E79" s="19">
        <f>E76*2</f>
        <v>4</v>
      </c>
      <c r="F79" s="19">
        <v>77.150000000000006</v>
      </c>
      <c r="G79" s="19">
        <f>ROUND(F79*1.2245,2)</f>
        <v>94.47</v>
      </c>
      <c r="H79" s="28">
        <f t="shared" si="7"/>
        <v>377.88</v>
      </c>
      <c r="I79" s="19">
        <f t="shared" si="5"/>
        <v>310.48</v>
      </c>
      <c r="J79" s="19">
        <f t="shared" si="6"/>
        <v>67.400000000000006</v>
      </c>
      <c r="K79" s="19"/>
      <c r="L79" s="3"/>
      <c r="M79" s="184"/>
      <c r="P79" s="184"/>
      <c r="Q79" s="184"/>
      <c r="R79" s="184"/>
    </row>
    <row r="80" spans="1:18" s="185" customFormat="1" ht="28.5" x14ac:dyDescent="0.2">
      <c r="A80" s="17" t="s">
        <v>190</v>
      </c>
      <c r="B80" s="52" t="s">
        <v>199</v>
      </c>
      <c r="C80" s="53" t="s">
        <v>269</v>
      </c>
      <c r="D80" s="47" t="s">
        <v>43</v>
      </c>
      <c r="E80" s="19">
        <f>E76*2</f>
        <v>4</v>
      </c>
      <c r="F80" s="19">
        <v>97.47</v>
      </c>
      <c r="G80" s="19">
        <f>ROUND(F80*1.3271,2)</f>
        <v>129.35</v>
      </c>
      <c r="H80" s="28">
        <f>ROUND(G80*E80,2)</f>
        <v>517.4</v>
      </c>
      <c r="I80" s="19">
        <f t="shared" si="5"/>
        <v>425.10999999999996</v>
      </c>
      <c r="J80" s="19">
        <f t="shared" si="6"/>
        <v>92.29</v>
      </c>
      <c r="K80" s="19"/>
      <c r="L80" s="3"/>
      <c r="M80" s="184"/>
      <c r="P80" s="184"/>
      <c r="Q80" s="184"/>
      <c r="R80" s="184"/>
    </row>
    <row r="81" spans="1:18" s="185" customFormat="1" ht="28.5" x14ac:dyDescent="0.2">
      <c r="A81" s="17" t="s">
        <v>191</v>
      </c>
      <c r="B81" s="52" t="s">
        <v>277</v>
      </c>
      <c r="C81" s="53" t="s">
        <v>238</v>
      </c>
      <c r="D81" s="47" t="s">
        <v>43</v>
      </c>
      <c r="E81" s="19">
        <f>E76</f>
        <v>2</v>
      </c>
      <c r="F81" s="19">
        <v>421.5</v>
      </c>
      <c r="G81" s="19">
        <f>ROUND(F81*1.3271,2)</f>
        <v>559.37</v>
      </c>
      <c r="H81" s="28">
        <f>ROUND(G81*E81,2)</f>
        <v>1118.74</v>
      </c>
      <c r="I81" s="19">
        <f t="shared" si="5"/>
        <v>919.18000000000006</v>
      </c>
      <c r="J81" s="19">
        <f t="shared" si="6"/>
        <v>199.56</v>
      </c>
      <c r="K81" s="19"/>
      <c r="L81" s="3"/>
      <c r="M81" s="184"/>
      <c r="P81" s="184"/>
      <c r="Q81" s="184"/>
      <c r="R81" s="184"/>
    </row>
    <row r="82" spans="1:18" s="185" customFormat="1" ht="42.75" x14ac:dyDescent="0.2">
      <c r="A82" s="17" t="s">
        <v>192</v>
      </c>
      <c r="B82" s="52" t="s">
        <v>270</v>
      </c>
      <c r="C82" s="53" t="s">
        <v>183</v>
      </c>
      <c r="D82" s="47" t="s">
        <v>43</v>
      </c>
      <c r="E82" s="19">
        <f>E64+E70+E76</f>
        <v>14</v>
      </c>
      <c r="F82" s="19">
        <v>231.07</v>
      </c>
      <c r="G82" s="19">
        <f>ROUND(F82*1.3271,2)</f>
        <v>306.64999999999998</v>
      </c>
      <c r="H82" s="28">
        <f>ROUND(G82*E82,2)</f>
        <v>4293.1000000000004</v>
      </c>
      <c r="I82" s="19">
        <f t="shared" si="5"/>
        <v>3527.3100000000004</v>
      </c>
      <c r="J82" s="19">
        <f t="shared" si="6"/>
        <v>765.79</v>
      </c>
      <c r="K82" s="19"/>
      <c r="L82" s="3"/>
      <c r="M82" s="184"/>
      <c r="P82" s="184"/>
      <c r="Q82" s="184"/>
      <c r="R82" s="184"/>
    </row>
    <row r="83" spans="1:18" s="185" customFormat="1" ht="14.25" x14ac:dyDescent="0.2">
      <c r="A83" s="17"/>
      <c r="B83" s="55"/>
      <c r="C83" s="56"/>
      <c r="D83" s="47"/>
      <c r="E83" s="19"/>
      <c r="F83" s="19"/>
      <c r="G83" s="19"/>
      <c r="H83" s="28"/>
      <c r="I83" s="19"/>
      <c r="J83" s="19"/>
      <c r="K83" s="19"/>
      <c r="L83" s="3"/>
      <c r="M83" s="184"/>
      <c r="P83" s="184"/>
      <c r="Q83" s="184"/>
      <c r="R83" s="184"/>
    </row>
    <row r="84" spans="1:18" s="185" customFormat="1" ht="22.5" x14ac:dyDescent="0.3">
      <c r="A84" s="17"/>
      <c r="B84" s="55"/>
      <c r="C84" s="70" t="s">
        <v>72</v>
      </c>
      <c r="D84" s="47"/>
      <c r="E84" s="19"/>
      <c r="F84" s="19"/>
      <c r="G84" s="19"/>
      <c r="H84" s="71">
        <f>ROUND(SUM(H64:H82),2)</f>
        <v>22924.38</v>
      </c>
      <c r="I84" s="71">
        <f>ROUND(SUM(I64:I82),2)</f>
        <v>18835.22</v>
      </c>
      <c r="J84" s="71">
        <f>ROUND(SUM(J64:J82),2)</f>
        <v>4089.16</v>
      </c>
      <c r="K84" s="19"/>
      <c r="L84" s="201">
        <f>I84+J84</f>
        <v>22924.38</v>
      </c>
      <c r="M84" s="185">
        <f>H84*$N$8</f>
        <v>18797.991614738636</v>
      </c>
      <c r="N84" s="185">
        <f>H84*$N$9</f>
        <v>4089.1630637053495</v>
      </c>
      <c r="P84" s="184"/>
      <c r="Q84" s="184"/>
      <c r="R84" s="184"/>
    </row>
    <row r="85" spans="1:18" s="185" customFormat="1" ht="14.25" x14ac:dyDescent="0.2">
      <c r="A85" s="17"/>
      <c r="B85" s="46"/>
      <c r="C85" s="18"/>
      <c r="D85" s="18"/>
      <c r="E85" s="19"/>
      <c r="F85" s="19"/>
      <c r="G85" s="19"/>
      <c r="H85" s="28"/>
      <c r="I85" s="19"/>
      <c r="J85" s="19"/>
      <c r="K85" s="19"/>
      <c r="L85" s="3"/>
      <c r="M85" s="184"/>
      <c r="P85" s="184"/>
      <c r="Q85" s="184"/>
      <c r="R85" s="184"/>
    </row>
    <row r="86" spans="1:18" s="185" customFormat="1" ht="28.5" x14ac:dyDescent="0.2">
      <c r="A86" s="17">
        <v>9</v>
      </c>
      <c r="B86" s="46"/>
      <c r="C86" s="49" t="s">
        <v>50</v>
      </c>
      <c r="D86" s="18"/>
      <c r="E86" s="19"/>
      <c r="F86" s="19"/>
      <c r="G86" s="19"/>
      <c r="H86" s="28"/>
      <c r="I86" s="19"/>
      <c r="J86" s="19"/>
      <c r="K86" s="19"/>
      <c r="L86" s="3"/>
      <c r="M86" s="184"/>
      <c r="P86" s="184"/>
      <c r="Q86" s="184"/>
      <c r="R86" s="184"/>
    </row>
    <row r="87" spans="1:18" s="185" customFormat="1" ht="28.5" x14ac:dyDescent="0.2">
      <c r="A87" s="17" t="s">
        <v>155</v>
      </c>
      <c r="B87" s="54" t="s">
        <v>286</v>
      </c>
      <c r="C87" s="203" t="s">
        <v>135</v>
      </c>
      <c r="D87" s="47" t="s">
        <v>20</v>
      </c>
      <c r="E87" s="19">
        <f>ROUND('QUANTITATIVO DE ABERTURAS'!D550,2)</f>
        <v>1249.25</v>
      </c>
      <c r="F87" s="19">
        <v>1.25</v>
      </c>
      <c r="G87" s="19">
        <f t="shared" ref="G87:G94" si="8">ROUND(F87*1.3271,2)</f>
        <v>1.66</v>
      </c>
      <c r="H87" s="28">
        <f t="shared" ref="H87:H94" si="9">ROUND(G87*E87,2)</f>
        <v>2073.7600000000002</v>
      </c>
      <c r="I87" s="19">
        <f t="shared" ref="I87:I94" si="10">H87-J87</f>
        <v>1703.8500000000001</v>
      </c>
      <c r="J87" s="19">
        <f t="shared" ref="J87:J94" si="11">ROUND(H87*$N$9,2)</f>
        <v>369.91</v>
      </c>
      <c r="K87" s="19"/>
      <c r="L87" s="3"/>
      <c r="M87" s="184"/>
      <c r="P87" s="184"/>
      <c r="Q87" s="184"/>
      <c r="R87" s="184"/>
    </row>
    <row r="88" spans="1:18" s="185" customFormat="1" ht="28.5" x14ac:dyDescent="0.2">
      <c r="A88" s="17" t="s">
        <v>156</v>
      </c>
      <c r="B88" s="54" t="s">
        <v>55</v>
      </c>
      <c r="C88" s="53" t="s">
        <v>136</v>
      </c>
      <c r="D88" s="47" t="s">
        <v>44</v>
      </c>
      <c r="E88" s="19">
        <f>ROUND('QUANTITATIVO DE ABERTURAS'!D549,2)</f>
        <v>124.93</v>
      </c>
      <c r="F88" s="19">
        <v>101.18</v>
      </c>
      <c r="G88" s="19">
        <f t="shared" si="8"/>
        <v>134.28</v>
      </c>
      <c r="H88" s="28">
        <f t="shared" si="9"/>
        <v>16775.599999999999</v>
      </c>
      <c r="I88" s="19">
        <f t="shared" si="10"/>
        <v>13783.23</v>
      </c>
      <c r="J88" s="19">
        <f t="shared" si="11"/>
        <v>2992.37</v>
      </c>
      <c r="K88" s="19"/>
      <c r="L88" s="3"/>
      <c r="M88" s="184"/>
      <c r="P88" s="184"/>
      <c r="Q88" s="184"/>
      <c r="R88" s="184"/>
    </row>
    <row r="89" spans="1:18" s="185" customFormat="1" ht="28.5" x14ac:dyDescent="0.2">
      <c r="A89" s="17" t="s">
        <v>157</v>
      </c>
      <c r="B89" s="54" t="s">
        <v>56</v>
      </c>
      <c r="C89" s="53" t="s">
        <v>137</v>
      </c>
      <c r="D89" s="47" t="s">
        <v>44</v>
      </c>
      <c r="E89" s="19">
        <f>ROUND('QUANTITATIVO DE ABERTURAS'!D548,2)</f>
        <v>124.93</v>
      </c>
      <c r="F89" s="19">
        <v>84.57</v>
      </c>
      <c r="G89" s="19">
        <f t="shared" si="8"/>
        <v>112.23</v>
      </c>
      <c r="H89" s="28">
        <f t="shared" si="9"/>
        <v>14020.89</v>
      </c>
      <c r="I89" s="19">
        <f t="shared" si="10"/>
        <v>11519.9</v>
      </c>
      <c r="J89" s="19">
        <f t="shared" si="11"/>
        <v>2500.9899999999998</v>
      </c>
      <c r="K89" s="19"/>
      <c r="L89" s="3"/>
      <c r="M89" s="184"/>
      <c r="P89" s="184"/>
      <c r="Q89" s="184"/>
      <c r="R89" s="184"/>
    </row>
    <row r="90" spans="1:18" s="185" customFormat="1" ht="14.25" x14ac:dyDescent="0.2">
      <c r="A90" s="17" t="s">
        <v>158</v>
      </c>
      <c r="B90" s="54" t="s">
        <v>57</v>
      </c>
      <c r="C90" s="53" t="s">
        <v>138</v>
      </c>
      <c r="D90" s="47" t="s">
        <v>20</v>
      </c>
      <c r="E90" s="19">
        <f>ROUND('QUANTITATIVO DE ABERTURAS'!D551,2)</f>
        <v>1249.25</v>
      </c>
      <c r="F90" s="19">
        <v>1.31</v>
      </c>
      <c r="G90" s="19">
        <f t="shared" si="8"/>
        <v>1.74</v>
      </c>
      <c r="H90" s="28">
        <f t="shared" si="9"/>
        <v>2173.6999999999998</v>
      </c>
      <c r="I90" s="19">
        <f t="shared" si="10"/>
        <v>1785.9599999999998</v>
      </c>
      <c r="J90" s="19">
        <f t="shared" si="11"/>
        <v>387.74</v>
      </c>
      <c r="K90" s="19"/>
      <c r="L90" s="3"/>
      <c r="M90" s="184"/>
      <c r="P90" s="184"/>
      <c r="Q90" s="184"/>
      <c r="R90" s="184"/>
    </row>
    <row r="91" spans="1:18" s="185" customFormat="1" ht="42.75" x14ac:dyDescent="0.2">
      <c r="A91" s="17" t="s">
        <v>159</v>
      </c>
      <c r="B91" s="54" t="s">
        <v>58</v>
      </c>
      <c r="C91" s="53" t="s">
        <v>186</v>
      </c>
      <c r="D91" s="47" t="s">
        <v>59</v>
      </c>
      <c r="E91" s="19">
        <f>ROUND('QUANTITATIVO DE ABERTURAS'!D557,2)</f>
        <v>149.91</v>
      </c>
      <c r="F91" s="19">
        <v>199.75</v>
      </c>
      <c r="G91" s="19">
        <f t="shared" si="8"/>
        <v>265.08999999999997</v>
      </c>
      <c r="H91" s="28">
        <f t="shared" si="9"/>
        <v>39739.64</v>
      </c>
      <c r="I91" s="19">
        <f t="shared" si="10"/>
        <v>32651.040000000001</v>
      </c>
      <c r="J91" s="19">
        <f t="shared" si="11"/>
        <v>7088.6</v>
      </c>
      <c r="K91" s="19"/>
      <c r="L91" s="3"/>
      <c r="M91" s="184"/>
      <c r="P91" s="184"/>
      <c r="Q91" s="184"/>
      <c r="R91" s="184"/>
    </row>
    <row r="92" spans="1:18" s="185" customFormat="1" ht="28.5" x14ac:dyDescent="0.2">
      <c r="A92" s="17" t="s">
        <v>160</v>
      </c>
      <c r="B92" s="54" t="s">
        <v>287</v>
      </c>
      <c r="C92" s="53" t="s">
        <v>288</v>
      </c>
      <c r="D92" s="47" t="s">
        <v>54</v>
      </c>
      <c r="E92" s="19">
        <f>ROUND((E91/2.4)*60,2)</f>
        <v>3747.75</v>
      </c>
      <c r="F92" s="19">
        <v>0.84</v>
      </c>
      <c r="G92" s="19">
        <f t="shared" si="8"/>
        <v>1.1100000000000001</v>
      </c>
      <c r="H92" s="28">
        <f t="shared" si="9"/>
        <v>4160</v>
      </c>
      <c r="I92" s="19">
        <f t="shared" si="10"/>
        <v>3417.96</v>
      </c>
      <c r="J92" s="19">
        <f t="shared" si="11"/>
        <v>742.04</v>
      </c>
      <c r="K92" s="19"/>
      <c r="L92" s="3"/>
      <c r="M92" s="184"/>
      <c r="P92" s="184"/>
      <c r="Q92" s="184"/>
      <c r="R92" s="184"/>
    </row>
    <row r="93" spans="1:18" s="185" customFormat="1" ht="42.75" x14ac:dyDescent="0.2">
      <c r="A93" s="17" t="s">
        <v>161</v>
      </c>
      <c r="B93" s="54" t="s">
        <v>290</v>
      </c>
      <c r="C93" s="53" t="s">
        <v>289</v>
      </c>
      <c r="D93" s="47" t="s">
        <v>20</v>
      </c>
      <c r="E93" s="19">
        <f>ROUND('QUANTITATIVO DE ABERTURAS'!D545*0.6,2)</f>
        <v>170.4</v>
      </c>
      <c r="F93" s="19">
        <v>102.18</v>
      </c>
      <c r="G93" s="19">
        <f t="shared" si="8"/>
        <v>135.6</v>
      </c>
      <c r="H93" s="28">
        <f t="shared" si="9"/>
        <v>23106.240000000002</v>
      </c>
      <c r="I93" s="19">
        <f t="shared" si="10"/>
        <v>18984.64</v>
      </c>
      <c r="J93" s="19">
        <f t="shared" si="11"/>
        <v>4121.6000000000004</v>
      </c>
      <c r="K93" s="19"/>
      <c r="L93" s="3"/>
      <c r="M93" s="184"/>
      <c r="P93" s="184"/>
      <c r="Q93" s="184"/>
      <c r="R93" s="184"/>
    </row>
    <row r="94" spans="1:18" s="185" customFormat="1" ht="71.25" x14ac:dyDescent="0.2">
      <c r="A94" s="17" t="s">
        <v>162</v>
      </c>
      <c r="B94" s="54" t="s">
        <v>291</v>
      </c>
      <c r="C94" s="53" t="s">
        <v>292</v>
      </c>
      <c r="D94" s="47" t="s">
        <v>44</v>
      </c>
      <c r="E94" s="19">
        <f>ROUND('QUANTITATIVO DE ABERTURAS'!D545*0.4*0.07,2)</f>
        <v>7.95</v>
      </c>
      <c r="F94" s="19">
        <v>541.70000000000005</v>
      </c>
      <c r="G94" s="19">
        <f t="shared" si="8"/>
        <v>718.89</v>
      </c>
      <c r="H94" s="28">
        <f t="shared" si="9"/>
        <v>5715.18</v>
      </c>
      <c r="I94" s="19">
        <f t="shared" si="10"/>
        <v>4695.7300000000005</v>
      </c>
      <c r="J94" s="19">
        <f t="shared" si="11"/>
        <v>1019.45</v>
      </c>
      <c r="K94" s="19"/>
      <c r="L94" s="3"/>
      <c r="M94" s="184"/>
      <c r="P94" s="184"/>
      <c r="Q94" s="184"/>
      <c r="R94" s="184"/>
    </row>
    <row r="95" spans="1:18" s="185" customFormat="1" ht="14.25" x14ac:dyDescent="0.2">
      <c r="A95" s="17"/>
      <c r="B95" s="46"/>
      <c r="C95" s="18"/>
      <c r="D95" s="18"/>
      <c r="E95" s="20"/>
      <c r="F95" s="19"/>
      <c r="G95" s="19"/>
      <c r="H95" s="28"/>
      <c r="I95" s="19"/>
      <c r="J95" s="19"/>
      <c r="K95" s="19"/>
      <c r="L95" s="3"/>
      <c r="M95" s="184"/>
      <c r="P95" s="184"/>
      <c r="Q95" s="184"/>
      <c r="R95" s="184"/>
    </row>
    <row r="96" spans="1:18" s="185" customFormat="1" ht="22.5" x14ac:dyDescent="0.3">
      <c r="A96" s="17"/>
      <c r="B96" s="46"/>
      <c r="C96" s="70" t="s">
        <v>163</v>
      </c>
      <c r="D96" s="18"/>
      <c r="E96" s="20"/>
      <c r="F96" s="19"/>
      <c r="G96" s="19"/>
      <c r="H96" s="71">
        <f>ROUND(SUM(H87:H94),2)</f>
        <v>107765.01</v>
      </c>
      <c r="I96" s="71">
        <f>ROUND(SUM(I87:I94),2)</f>
        <v>88542.31</v>
      </c>
      <c r="J96" s="71">
        <f>ROUND(SUM(J87:J94),2)</f>
        <v>19222.7</v>
      </c>
      <c r="K96" s="19"/>
      <c r="L96" s="201">
        <f>I96+J96</f>
        <v>107765.01</v>
      </c>
      <c r="M96" s="185">
        <f>H96*$N$8</f>
        <v>88367.308269284709</v>
      </c>
      <c r="N96" s="185">
        <f>H96*$N$9</f>
        <v>19222.709554275301</v>
      </c>
      <c r="P96" s="184"/>
      <c r="Q96" s="184"/>
      <c r="R96" s="184"/>
    </row>
    <row r="97" spans="1:18" s="185" customFormat="1" ht="14.25" x14ac:dyDescent="0.2">
      <c r="A97" s="17"/>
      <c r="B97" s="46"/>
      <c r="C97" s="18"/>
      <c r="D97" s="18"/>
      <c r="E97" s="20"/>
      <c r="F97" s="19"/>
      <c r="G97" s="19"/>
      <c r="H97" s="28"/>
      <c r="I97" s="19"/>
      <c r="J97" s="19"/>
      <c r="K97" s="19"/>
      <c r="L97" s="3"/>
      <c r="M97" s="184"/>
      <c r="P97" s="184"/>
      <c r="Q97" s="184"/>
      <c r="R97" s="184"/>
    </row>
    <row r="98" spans="1:18" s="185" customFormat="1" ht="14.25" x14ac:dyDescent="0.2">
      <c r="A98" s="17"/>
      <c r="B98" s="46"/>
      <c r="C98" s="18"/>
      <c r="D98" s="18"/>
      <c r="E98" s="20"/>
      <c r="F98" s="19"/>
      <c r="G98" s="19"/>
      <c r="H98" s="28"/>
      <c r="I98" s="19"/>
      <c r="J98" s="19"/>
      <c r="K98" s="19"/>
      <c r="L98" s="3"/>
      <c r="M98" s="184"/>
      <c r="P98" s="184"/>
      <c r="Q98" s="184"/>
      <c r="R98" s="184"/>
    </row>
    <row r="99" spans="1:18" s="185" customFormat="1" ht="28.5" x14ac:dyDescent="0.2">
      <c r="A99" s="17">
        <v>10</v>
      </c>
      <c r="B99" s="46"/>
      <c r="C99" s="49" t="s">
        <v>302</v>
      </c>
      <c r="D99" s="18"/>
      <c r="E99" s="19"/>
      <c r="F99" s="19"/>
      <c r="G99" s="19"/>
      <c r="H99" s="28"/>
      <c r="I99" s="19"/>
      <c r="J99" s="19"/>
      <c r="K99" s="19"/>
      <c r="L99" s="3"/>
      <c r="M99" s="184"/>
      <c r="P99" s="184"/>
      <c r="Q99" s="184"/>
      <c r="R99" s="184"/>
    </row>
    <row r="100" spans="1:18" s="185" customFormat="1" ht="28.5" x14ac:dyDescent="0.2">
      <c r="A100" s="17" t="s">
        <v>293</v>
      </c>
      <c r="B100" s="54" t="s">
        <v>360</v>
      </c>
      <c r="C100" s="203" t="s">
        <v>361</v>
      </c>
      <c r="D100" s="47" t="s">
        <v>41</v>
      </c>
      <c r="E100" s="19">
        <v>14.3</v>
      </c>
      <c r="F100" s="19">
        <v>2.77</v>
      </c>
      <c r="G100" s="19">
        <f>ROUND(F100*1.3271,2)</f>
        <v>3.68</v>
      </c>
      <c r="H100" s="28">
        <f t="shared" ref="H100:H109" si="12">ROUND(G100*E100,2)</f>
        <v>52.62</v>
      </c>
      <c r="I100" s="19">
        <f t="shared" ref="I100:I123" si="13">H100-J100</f>
        <v>43.23</v>
      </c>
      <c r="J100" s="19">
        <f t="shared" ref="J100:J123" si="14">ROUND(H100*$N$9,2)</f>
        <v>9.39</v>
      </c>
      <c r="K100" s="19"/>
      <c r="L100" s="3"/>
      <c r="M100" s="184"/>
      <c r="P100" s="184"/>
      <c r="Q100" s="184"/>
      <c r="R100" s="184"/>
    </row>
    <row r="101" spans="1:18" s="185" customFormat="1" ht="42.75" x14ac:dyDescent="0.2">
      <c r="A101" s="17" t="s">
        <v>294</v>
      </c>
      <c r="B101" s="54" t="s">
        <v>362</v>
      </c>
      <c r="C101" s="53" t="s">
        <v>363</v>
      </c>
      <c r="D101" s="47" t="s">
        <v>20</v>
      </c>
      <c r="E101" s="19">
        <v>12.39</v>
      </c>
      <c r="F101" s="19">
        <v>11.62</v>
      </c>
      <c r="G101" s="19">
        <f t="shared" ref="G101:G109" si="15">ROUND(F101*1.3271,2)</f>
        <v>15.42</v>
      </c>
      <c r="H101" s="28">
        <f t="shared" si="12"/>
        <v>191.05</v>
      </c>
      <c r="I101" s="19">
        <f t="shared" si="13"/>
        <v>156.97000000000003</v>
      </c>
      <c r="J101" s="19">
        <f t="shared" si="14"/>
        <v>34.08</v>
      </c>
      <c r="K101" s="19"/>
      <c r="L101" s="3"/>
      <c r="M101" s="184"/>
      <c r="P101" s="184"/>
      <c r="Q101" s="184"/>
      <c r="R101" s="184"/>
    </row>
    <row r="102" spans="1:18" s="185" customFormat="1" ht="28.5" x14ac:dyDescent="0.2">
      <c r="A102" s="17" t="s">
        <v>295</v>
      </c>
      <c r="B102" s="54" t="s">
        <v>364</v>
      </c>
      <c r="C102" s="53" t="s">
        <v>365</v>
      </c>
      <c r="D102" s="47" t="s">
        <v>44</v>
      </c>
      <c r="E102" s="19">
        <v>0.62</v>
      </c>
      <c r="F102" s="19">
        <v>3.64</v>
      </c>
      <c r="G102" s="19">
        <f t="shared" si="15"/>
        <v>4.83</v>
      </c>
      <c r="H102" s="28">
        <f t="shared" si="12"/>
        <v>2.99</v>
      </c>
      <c r="I102" s="19">
        <f t="shared" si="13"/>
        <v>2.46</v>
      </c>
      <c r="J102" s="19">
        <f t="shared" si="14"/>
        <v>0.53</v>
      </c>
      <c r="K102" s="19"/>
      <c r="L102" s="3"/>
      <c r="M102" s="184"/>
      <c r="P102" s="184"/>
      <c r="Q102" s="184"/>
      <c r="R102" s="184"/>
    </row>
    <row r="103" spans="1:18" s="185" customFormat="1" ht="28.5" x14ac:dyDescent="0.2">
      <c r="A103" s="17" t="s">
        <v>296</v>
      </c>
      <c r="B103" s="54" t="s">
        <v>366</v>
      </c>
      <c r="C103" s="53" t="s">
        <v>367</v>
      </c>
      <c r="D103" s="47" t="s">
        <v>44</v>
      </c>
      <c r="E103" s="19">
        <v>0.62</v>
      </c>
      <c r="F103" s="19">
        <v>4.96</v>
      </c>
      <c r="G103" s="19">
        <f t="shared" si="15"/>
        <v>6.58</v>
      </c>
      <c r="H103" s="28">
        <f t="shared" si="12"/>
        <v>4.08</v>
      </c>
      <c r="I103" s="19">
        <f t="shared" si="13"/>
        <v>3.35</v>
      </c>
      <c r="J103" s="19">
        <f t="shared" si="14"/>
        <v>0.73</v>
      </c>
      <c r="K103" s="19"/>
      <c r="L103" s="3"/>
      <c r="M103" s="184"/>
      <c r="P103" s="184"/>
      <c r="Q103" s="184"/>
      <c r="R103" s="184"/>
    </row>
    <row r="104" spans="1:18" s="185" customFormat="1" ht="85.5" x14ac:dyDescent="0.2">
      <c r="A104" s="17" t="s">
        <v>297</v>
      </c>
      <c r="B104" s="54" t="s">
        <v>368</v>
      </c>
      <c r="C104" s="53" t="s">
        <v>369</v>
      </c>
      <c r="D104" s="47" t="s">
        <v>44</v>
      </c>
      <c r="E104" s="19">
        <v>21.06</v>
      </c>
      <c r="F104" s="19">
        <v>12.89</v>
      </c>
      <c r="G104" s="19">
        <f t="shared" si="15"/>
        <v>17.11</v>
      </c>
      <c r="H104" s="28">
        <f t="shared" si="12"/>
        <v>360.34</v>
      </c>
      <c r="I104" s="19">
        <f t="shared" si="13"/>
        <v>296.05999999999995</v>
      </c>
      <c r="J104" s="19">
        <f t="shared" si="14"/>
        <v>64.28</v>
      </c>
      <c r="K104" s="19"/>
      <c r="L104" s="3"/>
      <c r="M104" s="184"/>
      <c r="P104" s="184"/>
      <c r="Q104" s="184"/>
      <c r="R104" s="184"/>
    </row>
    <row r="105" spans="1:18" s="185" customFormat="1" ht="57" x14ac:dyDescent="0.2">
      <c r="A105" s="17" t="s">
        <v>298</v>
      </c>
      <c r="B105" s="54" t="s">
        <v>370</v>
      </c>
      <c r="C105" s="53" t="s">
        <v>371</v>
      </c>
      <c r="D105" s="47" t="s">
        <v>20</v>
      </c>
      <c r="E105" s="19">
        <v>11.8</v>
      </c>
      <c r="F105" s="19">
        <v>50.69</v>
      </c>
      <c r="G105" s="19">
        <f t="shared" si="15"/>
        <v>67.27</v>
      </c>
      <c r="H105" s="28">
        <f t="shared" si="12"/>
        <v>793.79</v>
      </c>
      <c r="I105" s="19">
        <f t="shared" si="13"/>
        <v>652.19999999999993</v>
      </c>
      <c r="J105" s="19">
        <f t="shared" si="14"/>
        <v>141.59</v>
      </c>
      <c r="K105" s="19"/>
      <c r="L105" s="3"/>
      <c r="M105" s="184"/>
      <c r="P105" s="184"/>
      <c r="Q105" s="184"/>
      <c r="R105" s="184"/>
    </row>
    <row r="106" spans="1:18" s="185" customFormat="1" ht="57" x14ac:dyDescent="0.2">
      <c r="A106" s="17" t="s">
        <v>299</v>
      </c>
      <c r="B106" s="54" t="s">
        <v>372</v>
      </c>
      <c r="C106" s="53" t="s">
        <v>373</v>
      </c>
      <c r="D106" s="47" t="s">
        <v>44</v>
      </c>
      <c r="E106" s="19">
        <v>0.24</v>
      </c>
      <c r="F106" s="19">
        <v>434.73</v>
      </c>
      <c r="G106" s="19">
        <f t="shared" si="15"/>
        <v>576.92999999999995</v>
      </c>
      <c r="H106" s="28">
        <f t="shared" si="12"/>
        <v>138.46</v>
      </c>
      <c r="I106" s="19">
        <f t="shared" si="13"/>
        <v>113.76</v>
      </c>
      <c r="J106" s="19">
        <f t="shared" si="14"/>
        <v>24.7</v>
      </c>
      <c r="K106" s="19"/>
      <c r="L106" s="3"/>
      <c r="M106" s="184"/>
      <c r="P106" s="184"/>
      <c r="Q106" s="184"/>
      <c r="R106" s="184"/>
    </row>
    <row r="107" spans="1:18" s="185" customFormat="1" ht="42.75" x14ac:dyDescent="0.2">
      <c r="A107" s="17" t="s">
        <v>300</v>
      </c>
      <c r="B107" s="54" t="s">
        <v>374</v>
      </c>
      <c r="C107" s="53" t="s">
        <v>375</v>
      </c>
      <c r="D107" s="47" t="s">
        <v>20</v>
      </c>
      <c r="E107" s="19">
        <v>23.61</v>
      </c>
      <c r="F107" s="19">
        <v>37.36</v>
      </c>
      <c r="G107" s="19">
        <f t="shared" si="15"/>
        <v>49.58</v>
      </c>
      <c r="H107" s="28">
        <f t="shared" si="12"/>
        <v>1170.58</v>
      </c>
      <c r="I107" s="19">
        <f t="shared" si="13"/>
        <v>961.78</v>
      </c>
      <c r="J107" s="19">
        <f t="shared" si="14"/>
        <v>208.8</v>
      </c>
      <c r="K107" s="19"/>
      <c r="L107" s="3"/>
      <c r="M107" s="184"/>
      <c r="P107" s="184"/>
      <c r="Q107" s="184"/>
      <c r="R107" s="184"/>
    </row>
    <row r="108" spans="1:18" s="185" customFormat="1" ht="28.5" x14ac:dyDescent="0.2">
      <c r="A108" s="17" t="s">
        <v>303</v>
      </c>
      <c r="B108" s="54" t="s">
        <v>376</v>
      </c>
      <c r="C108" s="53" t="s">
        <v>377</v>
      </c>
      <c r="D108" s="47" t="s">
        <v>20</v>
      </c>
      <c r="E108" s="19">
        <v>4.34</v>
      </c>
      <c r="F108" s="19">
        <v>62.96</v>
      </c>
      <c r="G108" s="19">
        <f t="shared" si="15"/>
        <v>83.55</v>
      </c>
      <c r="H108" s="28">
        <f t="shared" si="12"/>
        <v>362.61</v>
      </c>
      <c r="I108" s="19">
        <f t="shared" si="13"/>
        <v>297.93</v>
      </c>
      <c r="J108" s="19">
        <f t="shared" si="14"/>
        <v>64.680000000000007</v>
      </c>
      <c r="K108" s="19"/>
      <c r="L108" s="3"/>
      <c r="M108" s="184"/>
      <c r="P108" s="184"/>
      <c r="Q108" s="184"/>
      <c r="R108" s="184"/>
    </row>
    <row r="109" spans="1:18" s="185" customFormat="1" ht="57" x14ac:dyDescent="0.2">
      <c r="A109" s="17" t="s">
        <v>304</v>
      </c>
      <c r="B109" s="54" t="s">
        <v>378</v>
      </c>
      <c r="C109" s="53" t="s">
        <v>379</v>
      </c>
      <c r="D109" s="47" t="s">
        <v>380</v>
      </c>
      <c r="E109" s="19">
        <v>12.36</v>
      </c>
      <c r="F109" s="19">
        <v>9.36</v>
      </c>
      <c r="G109" s="19">
        <f t="shared" si="15"/>
        <v>12.42</v>
      </c>
      <c r="H109" s="28">
        <f t="shared" si="12"/>
        <v>153.51</v>
      </c>
      <c r="I109" s="19">
        <f t="shared" si="13"/>
        <v>126.13</v>
      </c>
      <c r="J109" s="19">
        <f t="shared" si="14"/>
        <v>27.38</v>
      </c>
      <c r="K109" s="19"/>
      <c r="L109" s="3"/>
      <c r="M109" s="184"/>
      <c r="P109" s="184"/>
      <c r="Q109" s="184"/>
      <c r="R109" s="184"/>
    </row>
    <row r="110" spans="1:18" s="185" customFormat="1" ht="57" x14ac:dyDescent="0.2">
      <c r="A110" s="17" t="s">
        <v>305</v>
      </c>
      <c r="B110" s="54" t="s">
        <v>381</v>
      </c>
      <c r="C110" s="53" t="s">
        <v>382</v>
      </c>
      <c r="D110" s="47" t="s">
        <v>380</v>
      </c>
      <c r="E110" s="19">
        <v>62.64</v>
      </c>
      <c r="F110" s="19">
        <v>6.2</v>
      </c>
      <c r="G110" s="19">
        <f>ROUND(F110*1.3271,2)</f>
        <v>8.23</v>
      </c>
      <c r="H110" s="28">
        <f>ROUND(G110*E110,2)</f>
        <v>515.53</v>
      </c>
      <c r="I110" s="19">
        <f t="shared" si="13"/>
        <v>423.57</v>
      </c>
      <c r="J110" s="19">
        <f t="shared" si="14"/>
        <v>91.96</v>
      </c>
      <c r="K110" s="19"/>
      <c r="L110" s="3"/>
      <c r="M110" s="184"/>
      <c r="P110" s="184"/>
      <c r="Q110" s="184"/>
      <c r="R110" s="184"/>
    </row>
    <row r="111" spans="1:18" s="185" customFormat="1" ht="42.75" x14ac:dyDescent="0.2">
      <c r="A111" s="17" t="s">
        <v>306</v>
      </c>
      <c r="B111" s="54" t="s">
        <v>383</v>
      </c>
      <c r="C111" s="53" t="s">
        <v>408</v>
      </c>
      <c r="D111" s="47" t="s">
        <v>44</v>
      </c>
      <c r="E111" s="19">
        <v>1.59</v>
      </c>
      <c r="F111" s="19">
        <v>265.97000000000003</v>
      </c>
      <c r="G111" s="19">
        <f>ROUND(F111*1.3271,2)</f>
        <v>352.97</v>
      </c>
      <c r="H111" s="28">
        <f>ROUND(G111*E111,2)</f>
        <v>561.22</v>
      </c>
      <c r="I111" s="19">
        <f t="shared" si="13"/>
        <v>461.11</v>
      </c>
      <c r="J111" s="19">
        <f t="shared" si="14"/>
        <v>100.11</v>
      </c>
      <c r="K111" s="19"/>
      <c r="L111" s="3"/>
      <c r="M111" s="184"/>
      <c r="P111" s="184"/>
      <c r="Q111" s="184"/>
      <c r="R111" s="184"/>
    </row>
    <row r="112" spans="1:18" s="185" customFormat="1" ht="57" x14ac:dyDescent="0.2">
      <c r="A112" s="17" t="s">
        <v>307</v>
      </c>
      <c r="B112" s="54" t="s">
        <v>40</v>
      </c>
      <c r="C112" s="204" t="s">
        <v>139</v>
      </c>
      <c r="D112" s="47" t="s">
        <v>44</v>
      </c>
      <c r="E112" s="19">
        <v>27.38</v>
      </c>
      <c r="F112" s="19">
        <v>1.6</v>
      </c>
      <c r="G112" s="19">
        <f>ROUND(F112*1.3271,2)</f>
        <v>2.12</v>
      </c>
      <c r="H112" s="28">
        <f>ROUND(G112*E112,2)</f>
        <v>58.05</v>
      </c>
      <c r="I112" s="19">
        <f t="shared" si="13"/>
        <v>47.699999999999996</v>
      </c>
      <c r="J112" s="19">
        <f t="shared" si="14"/>
        <v>10.35</v>
      </c>
      <c r="K112" s="19"/>
      <c r="L112" s="3"/>
      <c r="M112" s="184"/>
      <c r="P112" s="184"/>
      <c r="Q112" s="184"/>
      <c r="R112" s="184"/>
    </row>
    <row r="113" spans="1:18" s="185" customFormat="1" ht="28.5" x14ac:dyDescent="0.2">
      <c r="A113" s="17" t="s">
        <v>308</v>
      </c>
      <c r="B113" s="54" t="s">
        <v>385</v>
      </c>
      <c r="C113" s="53" t="s">
        <v>384</v>
      </c>
      <c r="D113" s="47" t="s">
        <v>44</v>
      </c>
      <c r="E113" s="19">
        <v>27.38</v>
      </c>
      <c r="F113" s="19">
        <v>2.8</v>
      </c>
      <c r="G113" s="19">
        <f>ROUND(F113*1.3271,2)</f>
        <v>3.72</v>
      </c>
      <c r="H113" s="28">
        <f>ROUND(G113*E113,2)</f>
        <v>101.85</v>
      </c>
      <c r="I113" s="19">
        <f t="shared" si="13"/>
        <v>83.679999999999993</v>
      </c>
      <c r="J113" s="19">
        <f t="shared" si="14"/>
        <v>18.170000000000002</v>
      </c>
      <c r="K113" s="19"/>
      <c r="L113" s="3"/>
      <c r="M113" s="184"/>
      <c r="P113" s="184"/>
      <c r="Q113" s="184"/>
      <c r="R113" s="184"/>
    </row>
    <row r="114" spans="1:18" s="185" customFormat="1" ht="42.75" x14ac:dyDescent="0.2">
      <c r="A114" s="17" t="s">
        <v>309</v>
      </c>
      <c r="B114" s="54" t="s">
        <v>386</v>
      </c>
      <c r="C114" s="53" t="s">
        <v>387</v>
      </c>
      <c r="D114" s="47" t="s">
        <v>20</v>
      </c>
      <c r="E114" s="19">
        <v>4.34</v>
      </c>
      <c r="F114" s="19">
        <v>2.42</v>
      </c>
      <c r="G114" s="19">
        <f>ROUND(F114*1.3271,2)</f>
        <v>3.21</v>
      </c>
      <c r="H114" s="28">
        <f>ROUND(G114*E114,2)</f>
        <v>13.93</v>
      </c>
      <c r="I114" s="19">
        <f t="shared" si="13"/>
        <v>11.45</v>
      </c>
      <c r="J114" s="19">
        <f t="shared" si="14"/>
        <v>2.48</v>
      </c>
      <c r="K114" s="19"/>
      <c r="L114" s="3"/>
      <c r="M114" s="184"/>
      <c r="P114" s="184"/>
      <c r="Q114" s="184"/>
      <c r="R114" s="184"/>
    </row>
    <row r="115" spans="1:18" s="185" customFormat="1" ht="57" x14ac:dyDescent="0.2">
      <c r="A115" s="17" t="s">
        <v>310</v>
      </c>
      <c r="B115" s="54" t="s">
        <v>388</v>
      </c>
      <c r="C115" s="53" t="s">
        <v>389</v>
      </c>
      <c r="D115" s="47" t="s">
        <v>44</v>
      </c>
      <c r="E115" s="19">
        <v>0.87</v>
      </c>
      <c r="F115" s="19">
        <v>118.75</v>
      </c>
      <c r="G115" s="19">
        <f t="shared" ref="G115:G123" si="16">ROUND(F115*1.3271,2)</f>
        <v>157.59</v>
      </c>
      <c r="H115" s="28">
        <f t="shared" ref="H115:H123" si="17">ROUND(G115*E115,2)</f>
        <v>137.1</v>
      </c>
      <c r="I115" s="19">
        <f t="shared" si="13"/>
        <v>112.63999999999999</v>
      </c>
      <c r="J115" s="19">
        <f t="shared" si="14"/>
        <v>24.46</v>
      </c>
      <c r="K115" s="19"/>
      <c r="L115" s="3"/>
      <c r="M115" s="184"/>
      <c r="P115" s="184"/>
      <c r="Q115" s="184"/>
      <c r="R115" s="184"/>
    </row>
    <row r="116" spans="1:18" s="185" customFormat="1" ht="28.5" x14ac:dyDescent="0.2">
      <c r="A116" s="17" t="s">
        <v>311</v>
      </c>
      <c r="B116" s="54" t="s">
        <v>185</v>
      </c>
      <c r="C116" s="204" t="s">
        <v>184</v>
      </c>
      <c r="D116" s="47" t="s">
        <v>44</v>
      </c>
      <c r="E116" s="19">
        <v>15.17</v>
      </c>
      <c r="F116" s="19">
        <f>ROUND(22.64,2)</f>
        <v>22.64</v>
      </c>
      <c r="G116" s="19">
        <f t="shared" si="16"/>
        <v>30.05</v>
      </c>
      <c r="H116" s="28">
        <f t="shared" si="17"/>
        <v>455.86</v>
      </c>
      <c r="I116" s="19">
        <f t="shared" si="13"/>
        <v>374.55</v>
      </c>
      <c r="J116" s="19">
        <f t="shared" si="14"/>
        <v>81.31</v>
      </c>
      <c r="K116" s="19"/>
      <c r="L116" s="3"/>
      <c r="M116" s="184"/>
      <c r="P116" s="184"/>
      <c r="Q116" s="184"/>
      <c r="R116" s="184"/>
    </row>
    <row r="117" spans="1:18" s="185" customFormat="1" ht="28.5" x14ac:dyDescent="0.2">
      <c r="A117" s="17" t="s">
        <v>312</v>
      </c>
      <c r="B117" s="54" t="s">
        <v>390</v>
      </c>
      <c r="C117" s="53" t="s">
        <v>391</v>
      </c>
      <c r="D117" s="47" t="s">
        <v>20</v>
      </c>
      <c r="E117" s="19">
        <v>12.39</v>
      </c>
      <c r="F117" s="19">
        <v>1.71</v>
      </c>
      <c r="G117" s="19">
        <f t="shared" si="16"/>
        <v>2.27</v>
      </c>
      <c r="H117" s="28">
        <f t="shared" si="17"/>
        <v>28.13</v>
      </c>
      <c r="I117" s="19">
        <f t="shared" si="13"/>
        <v>23.11</v>
      </c>
      <c r="J117" s="19">
        <f t="shared" si="14"/>
        <v>5.0199999999999996</v>
      </c>
      <c r="K117" s="19"/>
      <c r="L117" s="3"/>
      <c r="M117" s="184"/>
      <c r="P117" s="184"/>
      <c r="Q117" s="184"/>
      <c r="R117" s="184"/>
    </row>
    <row r="118" spans="1:18" s="185" customFormat="1" ht="28.5" x14ac:dyDescent="0.2">
      <c r="A118" s="17" t="s">
        <v>313</v>
      </c>
      <c r="B118" s="54" t="s">
        <v>392</v>
      </c>
      <c r="C118" s="53" t="s">
        <v>393</v>
      </c>
      <c r="D118" s="47" t="s">
        <v>20</v>
      </c>
      <c r="E118" s="19">
        <v>12.39</v>
      </c>
      <c r="F118" s="19">
        <v>8.8000000000000007</v>
      </c>
      <c r="G118" s="19">
        <f t="shared" si="16"/>
        <v>11.68</v>
      </c>
      <c r="H118" s="28">
        <f t="shared" si="17"/>
        <v>144.72</v>
      </c>
      <c r="I118" s="19">
        <f t="shared" si="13"/>
        <v>118.91</v>
      </c>
      <c r="J118" s="19">
        <f t="shared" si="14"/>
        <v>25.81</v>
      </c>
      <c r="K118" s="19"/>
      <c r="L118" s="3"/>
      <c r="M118" s="184"/>
      <c r="P118" s="184"/>
      <c r="Q118" s="184"/>
      <c r="R118" s="184"/>
    </row>
    <row r="119" spans="1:18" s="185" customFormat="1" ht="28.5" x14ac:dyDescent="0.2">
      <c r="A119" s="17" t="s">
        <v>314</v>
      </c>
      <c r="B119" s="54" t="s">
        <v>394</v>
      </c>
      <c r="C119" s="204" t="s">
        <v>395</v>
      </c>
      <c r="D119" s="47" t="s">
        <v>20</v>
      </c>
      <c r="E119" s="19">
        <v>12.39</v>
      </c>
      <c r="F119" s="19">
        <v>4.74</v>
      </c>
      <c r="G119" s="19">
        <f t="shared" si="16"/>
        <v>6.29</v>
      </c>
      <c r="H119" s="28">
        <f t="shared" si="17"/>
        <v>77.930000000000007</v>
      </c>
      <c r="I119" s="19">
        <f t="shared" si="13"/>
        <v>64.03</v>
      </c>
      <c r="J119" s="19">
        <f t="shared" si="14"/>
        <v>13.9</v>
      </c>
      <c r="K119" s="19"/>
      <c r="L119" s="3"/>
      <c r="M119" s="184"/>
      <c r="P119" s="184"/>
      <c r="Q119" s="184"/>
      <c r="R119" s="184"/>
    </row>
    <row r="120" spans="1:18" s="185" customFormat="1" ht="14.25" x14ac:dyDescent="0.2">
      <c r="A120" s="17" t="s">
        <v>315</v>
      </c>
      <c r="B120" s="54" t="s">
        <v>396</v>
      </c>
      <c r="C120" s="53" t="s">
        <v>397</v>
      </c>
      <c r="D120" s="47" t="s">
        <v>44</v>
      </c>
      <c r="E120" s="19">
        <v>0.25</v>
      </c>
      <c r="F120" s="19">
        <v>351.34</v>
      </c>
      <c r="G120" s="19">
        <f t="shared" si="16"/>
        <v>466.26</v>
      </c>
      <c r="H120" s="28">
        <f t="shared" si="17"/>
        <v>116.57</v>
      </c>
      <c r="I120" s="19">
        <f t="shared" si="13"/>
        <v>95.78</v>
      </c>
      <c r="J120" s="19">
        <f t="shared" si="14"/>
        <v>20.79</v>
      </c>
      <c r="K120" s="19"/>
      <c r="L120" s="3"/>
      <c r="M120" s="184"/>
      <c r="P120" s="184"/>
      <c r="Q120" s="184"/>
      <c r="R120" s="184"/>
    </row>
    <row r="121" spans="1:18" s="185" customFormat="1" ht="42.75" x14ac:dyDescent="0.2">
      <c r="A121" s="17" t="s">
        <v>316</v>
      </c>
      <c r="B121" s="54" t="s">
        <v>58</v>
      </c>
      <c r="C121" s="53" t="s">
        <v>186</v>
      </c>
      <c r="D121" s="47" t="s">
        <v>59</v>
      </c>
      <c r="E121" s="19">
        <v>0.89</v>
      </c>
      <c r="F121" s="19">
        <v>199.75</v>
      </c>
      <c r="G121" s="19">
        <f t="shared" si="16"/>
        <v>265.08999999999997</v>
      </c>
      <c r="H121" s="28">
        <f t="shared" si="17"/>
        <v>235.93</v>
      </c>
      <c r="I121" s="19">
        <f t="shared" si="13"/>
        <v>193.85000000000002</v>
      </c>
      <c r="J121" s="19">
        <f t="shared" si="14"/>
        <v>42.08</v>
      </c>
      <c r="K121" s="19"/>
      <c r="L121" s="3"/>
      <c r="M121" s="184"/>
      <c r="P121" s="184"/>
      <c r="Q121" s="184"/>
      <c r="R121" s="184"/>
    </row>
    <row r="122" spans="1:18" s="185" customFormat="1" ht="28.5" x14ac:dyDescent="0.2">
      <c r="A122" s="17" t="s">
        <v>317</v>
      </c>
      <c r="B122" s="54" t="s">
        <v>287</v>
      </c>
      <c r="C122" s="53" t="s">
        <v>288</v>
      </c>
      <c r="D122" s="47" t="s">
        <v>54</v>
      </c>
      <c r="E122" s="19">
        <v>22.3</v>
      </c>
      <c r="F122" s="19">
        <v>0.84</v>
      </c>
      <c r="G122" s="19">
        <f>ROUND(F122*1.3271,2)</f>
        <v>1.1100000000000001</v>
      </c>
      <c r="H122" s="28">
        <f>ROUND(G122*E122,2)</f>
        <v>24.75</v>
      </c>
      <c r="I122" s="19">
        <f>H122-J122</f>
        <v>20.34</v>
      </c>
      <c r="J122" s="19">
        <f>ROUND(H122*$N$9,2)</f>
        <v>4.41</v>
      </c>
      <c r="K122" s="19"/>
      <c r="L122" s="3"/>
      <c r="M122" s="184"/>
      <c r="P122" s="184"/>
      <c r="Q122" s="184"/>
      <c r="R122" s="184"/>
    </row>
    <row r="123" spans="1:18" s="185" customFormat="1" ht="42.75" x14ac:dyDescent="0.2">
      <c r="A123" s="17" t="s">
        <v>402</v>
      </c>
      <c r="B123" s="54" t="s">
        <v>403</v>
      </c>
      <c r="C123" s="53" t="s">
        <v>404</v>
      </c>
      <c r="D123" s="47" t="s">
        <v>43</v>
      </c>
      <c r="E123" s="19">
        <v>1</v>
      </c>
      <c r="F123" s="19">
        <v>411.39</v>
      </c>
      <c r="G123" s="19">
        <f t="shared" si="16"/>
        <v>545.96</v>
      </c>
      <c r="H123" s="28">
        <f t="shared" si="17"/>
        <v>545.96</v>
      </c>
      <c r="I123" s="19">
        <f t="shared" si="13"/>
        <v>448.57000000000005</v>
      </c>
      <c r="J123" s="19">
        <f t="shared" si="14"/>
        <v>97.39</v>
      </c>
      <c r="K123" s="19"/>
      <c r="L123" s="3"/>
      <c r="M123" s="184"/>
      <c r="P123" s="184"/>
      <c r="Q123" s="184"/>
      <c r="R123" s="184"/>
    </row>
    <row r="124" spans="1:18" s="185" customFormat="1" ht="14.25" x14ac:dyDescent="0.2">
      <c r="A124" s="17"/>
      <c r="B124" s="46"/>
      <c r="C124" s="18"/>
      <c r="D124" s="18"/>
      <c r="E124" s="20"/>
      <c r="F124" s="19"/>
      <c r="G124" s="19"/>
      <c r="H124" s="28"/>
      <c r="I124" s="19"/>
      <c r="J124" s="19"/>
      <c r="K124" s="19"/>
      <c r="L124" s="3"/>
      <c r="M124" s="184"/>
      <c r="P124" s="184"/>
      <c r="Q124" s="184"/>
      <c r="R124" s="184"/>
    </row>
    <row r="125" spans="1:18" s="185" customFormat="1" ht="22.5" x14ac:dyDescent="0.3">
      <c r="A125" s="17"/>
      <c r="B125" s="46"/>
      <c r="C125" s="70" t="s">
        <v>301</v>
      </c>
      <c r="D125" s="18"/>
      <c r="E125" s="20"/>
      <c r="F125" s="19"/>
      <c r="G125" s="19"/>
      <c r="H125" s="71">
        <f>ROUND(SUM(H100:H123),2)</f>
        <v>6247.56</v>
      </c>
      <c r="I125" s="71">
        <f>ROUND(SUM(I100:I123),2)</f>
        <v>5133.16</v>
      </c>
      <c r="J125" s="71">
        <f>ROUND(SUM(J100:J123),2)</f>
        <v>1114.4000000000001</v>
      </c>
      <c r="K125" s="19"/>
      <c r="L125" s="201">
        <f>I125+J125</f>
        <v>6247.5599999999995</v>
      </c>
      <c r="M125" s="185">
        <f>H125*$N$8</f>
        <v>5122.9992040167062</v>
      </c>
      <c r="N125" s="185">
        <f>H125*$N$9</f>
        <v>1114.4158136570322</v>
      </c>
      <c r="P125" s="184"/>
      <c r="Q125" s="184"/>
      <c r="R125" s="184"/>
    </row>
    <row r="126" spans="1:18" s="185" customFormat="1" ht="14.25" x14ac:dyDescent="0.2">
      <c r="A126" s="17"/>
      <c r="B126" s="46"/>
      <c r="C126" s="18"/>
      <c r="D126" s="18"/>
      <c r="E126" s="20"/>
      <c r="F126" s="19"/>
      <c r="G126" s="19"/>
      <c r="H126" s="28"/>
      <c r="I126" s="19"/>
      <c r="J126" s="19"/>
      <c r="K126" s="19"/>
      <c r="L126" s="3"/>
      <c r="M126" s="184"/>
      <c r="P126" s="184"/>
      <c r="Q126" s="184"/>
      <c r="R126" s="184"/>
    </row>
    <row r="127" spans="1:18" s="185" customFormat="1" ht="14.25" x14ac:dyDescent="0.2">
      <c r="A127" s="17"/>
      <c r="B127" s="46"/>
      <c r="C127" s="18"/>
      <c r="D127" s="18"/>
      <c r="E127" s="20"/>
      <c r="F127" s="19"/>
      <c r="G127" s="19"/>
      <c r="H127" s="28"/>
      <c r="I127" s="19"/>
      <c r="J127" s="19"/>
      <c r="K127" s="19"/>
      <c r="L127" s="3"/>
      <c r="M127" s="184"/>
      <c r="P127" s="184"/>
      <c r="Q127" s="184"/>
      <c r="R127" s="184"/>
    </row>
    <row r="128" spans="1:18" s="185" customFormat="1" ht="28.5" x14ac:dyDescent="0.2">
      <c r="A128" s="17">
        <v>11</v>
      </c>
      <c r="B128" s="46"/>
      <c r="C128" s="49" t="s">
        <v>318</v>
      </c>
      <c r="D128" s="18"/>
      <c r="E128" s="19"/>
      <c r="F128" s="19"/>
      <c r="G128" s="19"/>
      <c r="H128" s="28"/>
      <c r="I128" s="19"/>
      <c r="J128" s="19"/>
      <c r="K128" s="19"/>
      <c r="L128" s="3"/>
      <c r="M128" s="184"/>
      <c r="P128" s="184"/>
      <c r="Q128" s="184"/>
      <c r="R128" s="184"/>
    </row>
    <row r="129" spans="1:18" s="185" customFormat="1" ht="14.25" x14ac:dyDescent="0.2">
      <c r="A129" s="17" t="s">
        <v>320</v>
      </c>
      <c r="B129" s="52" t="s">
        <v>285</v>
      </c>
      <c r="C129" s="53" t="s">
        <v>237</v>
      </c>
      <c r="D129" s="47" t="s">
        <v>43</v>
      </c>
      <c r="E129" s="19">
        <f>2</f>
        <v>2</v>
      </c>
      <c r="F129" s="19">
        <v>77.150000000000006</v>
      </c>
      <c r="G129" s="19">
        <f t="shared" ref="G129:G134" si="18">ROUND(F129*1.2245,2)</f>
        <v>94.47</v>
      </c>
      <c r="H129" s="28">
        <f>ROUND(G129*E129,2)</f>
        <v>188.94</v>
      </c>
      <c r="I129" s="19">
        <f t="shared" ref="I129:I147" si="19">H129-J129</f>
        <v>155.24</v>
      </c>
      <c r="J129" s="19">
        <f t="shared" ref="J129:J147" si="20">ROUND(H129*$N$9,2)</f>
        <v>33.700000000000003</v>
      </c>
      <c r="K129" s="19"/>
      <c r="L129" s="3"/>
      <c r="M129" s="184"/>
      <c r="P129" s="184"/>
      <c r="Q129" s="184"/>
      <c r="R129" s="184"/>
    </row>
    <row r="130" spans="1:18" s="185" customFormat="1" ht="14.25" x14ac:dyDescent="0.2">
      <c r="A130" s="17" t="s">
        <v>321</v>
      </c>
      <c r="B130" s="52" t="s">
        <v>283</v>
      </c>
      <c r="C130" s="53" t="s">
        <v>235</v>
      </c>
      <c r="D130" s="47" t="s">
        <v>43</v>
      </c>
      <c r="E130" s="19">
        <f>2</f>
        <v>2</v>
      </c>
      <c r="F130" s="19">
        <v>75.930000000000007</v>
      </c>
      <c r="G130" s="19">
        <f t="shared" si="18"/>
        <v>92.98</v>
      </c>
      <c r="H130" s="28">
        <f>ROUND(G130*E130,2)</f>
        <v>185.96</v>
      </c>
      <c r="I130" s="19">
        <f t="shared" si="19"/>
        <v>152.79000000000002</v>
      </c>
      <c r="J130" s="19">
        <f t="shared" si="20"/>
        <v>33.17</v>
      </c>
      <c r="K130" s="19"/>
      <c r="L130" s="3"/>
      <c r="M130" s="184"/>
      <c r="P130" s="184"/>
      <c r="Q130" s="184"/>
      <c r="R130" s="184"/>
    </row>
    <row r="131" spans="1:18" s="185" customFormat="1" ht="14.25" x14ac:dyDescent="0.2">
      <c r="A131" s="17" t="s">
        <v>322</v>
      </c>
      <c r="B131" s="52" t="s">
        <v>284</v>
      </c>
      <c r="C131" s="53" t="s">
        <v>236</v>
      </c>
      <c r="D131" s="47" t="s">
        <v>43</v>
      </c>
      <c r="E131" s="19">
        <f>2</f>
        <v>2</v>
      </c>
      <c r="F131" s="19">
        <v>172.31</v>
      </c>
      <c r="G131" s="19">
        <f t="shared" si="18"/>
        <v>210.99</v>
      </c>
      <c r="H131" s="28">
        <f>ROUND(G131*E131,2)</f>
        <v>421.98</v>
      </c>
      <c r="I131" s="19">
        <f t="shared" si="19"/>
        <v>346.71000000000004</v>
      </c>
      <c r="J131" s="19">
        <f t="shared" si="20"/>
        <v>75.27</v>
      </c>
      <c r="K131" s="19"/>
      <c r="L131" s="3"/>
      <c r="M131" s="184"/>
      <c r="P131" s="184"/>
      <c r="Q131" s="184"/>
      <c r="R131" s="184"/>
    </row>
    <row r="132" spans="1:18" s="185" customFormat="1" ht="28.5" x14ac:dyDescent="0.2">
      <c r="A132" s="17" t="s">
        <v>323</v>
      </c>
      <c r="B132" s="54" t="s">
        <v>337</v>
      </c>
      <c r="C132" s="53" t="s">
        <v>338</v>
      </c>
      <c r="D132" s="47" t="s">
        <v>43</v>
      </c>
      <c r="E132" s="19">
        <v>2</v>
      </c>
      <c r="F132" s="19">
        <v>431.91</v>
      </c>
      <c r="G132" s="19">
        <f t="shared" si="18"/>
        <v>528.87</v>
      </c>
      <c r="H132" s="28">
        <f>ROUND(G132*E132,2)</f>
        <v>1057.74</v>
      </c>
      <c r="I132" s="19">
        <f t="shared" si="19"/>
        <v>869.06</v>
      </c>
      <c r="J132" s="19">
        <f t="shared" si="20"/>
        <v>188.68</v>
      </c>
      <c r="K132" s="19"/>
      <c r="L132" s="3"/>
      <c r="M132" s="184"/>
      <c r="P132" s="184"/>
      <c r="Q132" s="184"/>
      <c r="R132" s="184"/>
    </row>
    <row r="133" spans="1:18" s="185" customFormat="1" ht="43.5" customHeight="1" x14ac:dyDescent="0.2">
      <c r="A133" s="17" t="s">
        <v>324</v>
      </c>
      <c r="B133" s="52" t="s">
        <v>282</v>
      </c>
      <c r="C133" s="53" t="s">
        <v>234</v>
      </c>
      <c r="D133" s="47" t="s">
        <v>43</v>
      </c>
      <c r="E133" s="19">
        <v>3</v>
      </c>
      <c r="F133" s="19">
        <v>1000</v>
      </c>
      <c r="G133" s="19">
        <f t="shared" si="18"/>
        <v>1224.5</v>
      </c>
      <c r="H133" s="28">
        <f>ROUND(G133*E133,2)</f>
        <v>3673.5</v>
      </c>
      <c r="I133" s="19">
        <f t="shared" si="19"/>
        <v>3018.24</v>
      </c>
      <c r="J133" s="19">
        <f t="shared" si="20"/>
        <v>655.26</v>
      </c>
      <c r="K133" s="19"/>
      <c r="L133" s="3"/>
      <c r="M133" s="184"/>
      <c r="P133" s="184"/>
      <c r="Q133" s="184"/>
      <c r="R133" s="184"/>
    </row>
    <row r="134" spans="1:18" s="185" customFormat="1" ht="28.5" x14ac:dyDescent="0.2">
      <c r="A134" s="17" t="s">
        <v>325</v>
      </c>
      <c r="B134" s="54" t="s">
        <v>339</v>
      </c>
      <c r="C134" s="53" t="s">
        <v>340</v>
      </c>
      <c r="D134" s="47" t="s">
        <v>43</v>
      </c>
      <c r="E134" s="19">
        <v>1</v>
      </c>
      <c r="F134" s="19">
        <v>426.43</v>
      </c>
      <c r="G134" s="19">
        <f t="shared" si="18"/>
        <v>522.16</v>
      </c>
      <c r="H134" s="28">
        <f t="shared" ref="H134:H145" si="21">ROUND(G134*E134,2)</f>
        <v>522.16</v>
      </c>
      <c r="I134" s="19">
        <f t="shared" si="19"/>
        <v>429.02</v>
      </c>
      <c r="J134" s="19">
        <f t="shared" si="20"/>
        <v>93.14</v>
      </c>
      <c r="K134" s="19"/>
      <c r="L134" s="3"/>
      <c r="M134" s="184"/>
      <c r="P134" s="184"/>
      <c r="Q134" s="184"/>
      <c r="R134" s="184"/>
    </row>
    <row r="135" spans="1:18" s="185" customFormat="1" ht="14.25" x14ac:dyDescent="0.2">
      <c r="A135" s="17" t="s">
        <v>326</v>
      </c>
      <c r="B135" s="54" t="s">
        <v>341</v>
      </c>
      <c r="C135" s="53" t="s">
        <v>342</v>
      </c>
      <c r="D135" s="47" t="s">
        <v>43</v>
      </c>
      <c r="E135" s="19">
        <v>1</v>
      </c>
      <c r="F135" s="19">
        <v>1123.82</v>
      </c>
      <c r="G135" s="19">
        <f t="shared" ref="G135:G143" si="22">ROUND(F135*1.2245,2)</f>
        <v>1376.12</v>
      </c>
      <c r="H135" s="28">
        <f t="shared" si="21"/>
        <v>1376.12</v>
      </c>
      <c r="I135" s="19">
        <f t="shared" si="19"/>
        <v>1130.6499999999999</v>
      </c>
      <c r="J135" s="19">
        <f t="shared" si="20"/>
        <v>245.47</v>
      </c>
      <c r="K135" s="19"/>
      <c r="L135" s="3"/>
      <c r="M135" s="184"/>
      <c r="P135" s="184"/>
      <c r="Q135" s="184"/>
      <c r="R135" s="184"/>
    </row>
    <row r="136" spans="1:18" s="185" customFormat="1" ht="28.5" x14ac:dyDescent="0.2">
      <c r="A136" s="17" t="s">
        <v>327</v>
      </c>
      <c r="B136" s="54" t="s">
        <v>343</v>
      </c>
      <c r="C136" s="53" t="s">
        <v>344</v>
      </c>
      <c r="D136" s="47" t="s">
        <v>43</v>
      </c>
      <c r="E136" s="19">
        <v>1</v>
      </c>
      <c r="F136" s="19">
        <v>750.63</v>
      </c>
      <c r="G136" s="19">
        <f t="shared" si="22"/>
        <v>919.15</v>
      </c>
      <c r="H136" s="28">
        <f t="shared" si="21"/>
        <v>919.15</v>
      </c>
      <c r="I136" s="19">
        <f t="shared" si="19"/>
        <v>755.2</v>
      </c>
      <c r="J136" s="19">
        <f t="shared" si="20"/>
        <v>163.95</v>
      </c>
      <c r="K136" s="19"/>
      <c r="L136" s="3"/>
      <c r="M136" s="184"/>
      <c r="P136" s="184"/>
      <c r="Q136" s="184"/>
      <c r="R136" s="184"/>
    </row>
    <row r="137" spans="1:18" s="185" customFormat="1" ht="112.5" customHeight="1" x14ac:dyDescent="0.2">
      <c r="A137" s="17" t="s">
        <v>328</v>
      </c>
      <c r="B137" s="54" t="s">
        <v>346</v>
      </c>
      <c r="C137" s="202" t="s">
        <v>345</v>
      </c>
      <c r="D137" s="47" t="s">
        <v>43</v>
      </c>
      <c r="E137" s="19">
        <v>1</v>
      </c>
      <c r="F137" s="19">
        <v>15000</v>
      </c>
      <c r="G137" s="19">
        <f t="shared" si="22"/>
        <v>18367.5</v>
      </c>
      <c r="H137" s="28">
        <f t="shared" si="21"/>
        <v>18367.5</v>
      </c>
      <c r="I137" s="19">
        <f t="shared" si="19"/>
        <v>15091.18</v>
      </c>
      <c r="J137" s="19">
        <f t="shared" si="20"/>
        <v>3276.32</v>
      </c>
      <c r="K137" s="19"/>
      <c r="L137" s="3"/>
      <c r="M137" s="184"/>
      <c r="P137" s="184"/>
      <c r="Q137" s="184"/>
      <c r="R137" s="184"/>
    </row>
    <row r="138" spans="1:18" s="185" customFormat="1" ht="28.5" x14ac:dyDescent="0.2">
      <c r="A138" s="17" t="s">
        <v>329</v>
      </c>
      <c r="B138" s="54" t="s">
        <v>347</v>
      </c>
      <c r="C138" s="53" t="s">
        <v>351</v>
      </c>
      <c r="D138" s="47" t="s">
        <v>43</v>
      </c>
      <c r="E138" s="19">
        <v>1</v>
      </c>
      <c r="F138" s="19">
        <v>546</v>
      </c>
      <c r="G138" s="19">
        <f t="shared" si="22"/>
        <v>668.58</v>
      </c>
      <c r="H138" s="28">
        <f t="shared" si="21"/>
        <v>668.58</v>
      </c>
      <c r="I138" s="19">
        <f t="shared" si="19"/>
        <v>549.32000000000005</v>
      </c>
      <c r="J138" s="19">
        <f t="shared" si="20"/>
        <v>119.26</v>
      </c>
      <c r="K138" s="19"/>
      <c r="L138" s="3"/>
      <c r="M138" s="184"/>
      <c r="P138" s="184"/>
      <c r="Q138" s="184"/>
      <c r="R138" s="184"/>
    </row>
    <row r="139" spans="1:18" s="185" customFormat="1" ht="28.5" x14ac:dyDescent="0.2">
      <c r="A139" s="17" t="s">
        <v>330</v>
      </c>
      <c r="B139" s="54" t="s">
        <v>348</v>
      </c>
      <c r="C139" s="53" t="s">
        <v>349</v>
      </c>
      <c r="D139" s="47" t="s">
        <v>43</v>
      </c>
      <c r="E139" s="19">
        <v>2</v>
      </c>
      <c r="F139" s="19">
        <v>227.27</v>
      </c>
      <c r="G139" s="19">
        <f t="shared" si="22"/>
        <v>278.29000000000002</v>
      </c>
      <c r="H139" s="28">
        <f t="shared" si="21"/>
        <v>556.58000000000004</v>
      </c>
      <c r="I139" s="19">
        <f t="shared" si="19"/>
        <v>457.30000000000007</v>
      </c>
      <c r="J139" s="19">
        <f t="shared" si="20"/>
        <v>99.28</v>
      </c>
      <c r="K139" s="19"/>
      <c r="L139" s="3"/>
      <c r="M139" s="184"/>
      <c r="P139" s="184"/>
      <c r="Q139" s="184"/>
      <c r="R139" s="184"/>
    </row>
    <row r="140" spans="1:18" s="185" customFormat="1" ht="28.5" x14ac:dyDescent="0.2">
      <c r="A140" s="17" t="s">
        <v>331</v>
      </c>
      <c r="B140" s="54" t="s">
        <v>350</v>
      </c>
      <c r="C140" s="53" t="s">
        <v>353</v>
      </c>
      <c r="D140" s="47" t="s">
        <v>43</v>
      </c>
      <c r="E140" s="19">
        <v>2</v>
      </c>
      <c r="F140" s="19">
        <v>262.27</v>
      </c>
      <c r="G140" s="19">
        <f t="shared" si="22"/>
        <v>321.14999999999998</v>
      </c>
      <c r="H140" s="28">
        <f t="shared" si="21"/>
        <v>642.29999999999995</v>
      </c>
      <c r="I140" s="19">
        <f t="shared" si="19"/>
        <v>527.73</v>
      </c>
      <c r="J140" s="19">
        <f t="shared" si="20"/>
        <v>114.57</v>
      </c>
      <c r="K140" s="19"/>
      <c r="L140" s="3"/>
      <c r="M140" s="184"/>
      <c r="P140" s="184"/>
      <c r="Q140" s="184"/>
      <c r="R140" s="184"/>
    </row>
    <row r="141" spans="1:18" s="185" customFormat="1" ht="28.5" x14ac:dyDescent="0.2">
      <c r="A141" s="17" t="s">
        <v>332</v>
      </c>
      <c r="B141" s="54"/>
      <c r="C141" s="53" t="s">
        <v>354</v>
      </c>
      <c r="D141" s="47" t="s">
        <v>43</v>
      </c>
      <c r="E141" s="19">
        <v>1</v>
      </c>
      <c r="F141" s="19"/>
      <c r="G141" s="19"/>
      <c r="H141" s="28"/>
      <c r="I141" s="19">
        <f t="shared" si="19"/>
        <v>0</v>
      </c>
      <c r="J141" s="19">
        <f t="shared" si="20"/>
        <v>0</v>
      </c>
      <c r="K141" s="19"/>
      <c r="L141" s="3"/>
      <c r="M141" s="184"/>
      <c r="P141" s="184"/>
      <c r="Q141" s="184"/>
      <c r="R141" s="184"/>
    </row>
    <row r="142" spans="1:18" s="185" customFormat="1" ht="28.5" x14ac:dyDescent="0.2">
      <c r="A142" s="17" t="s">
        <v>356</v>
      </c>
      <c r="B142" s="54" t="s">
        <v>355</v>
      </c>
      <c r="C142" s="53" t="s">
        <v>352</v>
      </c>
      <c r="D142" s="47" t="s">
        <v>43</v>
      </c>
      <c r="E142" s="19">
        <v>1</v>
      </c>
      <c r="F142" s="19">
        <v>1036.17</v>
      </c>
      <c r="G142" s="19">
        <f t="shared" si="22"/>
        <v>1268.79</v>
      </c>
      <c r="H142" s="28">
        <f t="shared" si="21"/>
        <v>1268.79</v>
      </c>
      <c r="I142" s="19">
        <f t="shared" si="19"/>
        <v>1042.47</v>
      </c>
      <c r="J142" s="19">
        <f t="shared" si="20"/>
        <v>226.32</v>
      </c>
      <c r="K142" s="19"/>
      <c r="L142" s="3"/>
      <c r="M142" s="184"/>
      <c r="P142" s="184"/>
      <c r="Q142" s="184"/>
      <c r="R142" s="184"/>
    </row>
    <row r="143" spans="1:18" s="185" customFormat="1" ht="28.5" x14ac:dyDescent="0.2">
      <c r="A143" s="17" t="s">
        <v>357</v>
      </c>
      <c r="B143" s="54" t="s">
        <v>347</v>
      </c>
      <c r="C143" s="53" t="s">
        <v>351</v>
      </c>
      <c r="D143" s="47" t="s">
        <v>43</v>
      </c>
      <c r="E143" s="19">
        <v>1</v>
      </c>
      <c r="F143" s="19">
        <v>546</v>
      </c>
      <c r="G143" s="19">
        <f t="shared" si="22"/>
        <v>668.58</v>
      </c>
      <c r="H143" s="28">
        <f>ROUND(G143*E143,2)</f>
        <v>668.58</v>
      </c>
      <c r="I143" s="19">
        <f t="shared" si="19"/>
        <v>549.32000000000005</v>
      </c>
      <c r="J143" s="19">
        <f t="shared" si="20"/>
        <v>119.26</v>
      </c>
      <c r="K143" s="19"/>
      <c r="L143" s="3"/>
      <c r="M143" s="184"/>
      <c r="P143" s="184"/>
      <c r="Q143" s="184"/>
      <c r="R143" s="184"/>
    </row>
    <row r="144" spans="1:18" s="185" customFormat="1" ht="28.5" x14ac:dyDescent="0.2">
      <c r="A144" s="17" t="s">
        <v>333</v>
      </c>
      <c r="B144" s="54" t="s">
        <v>358</v>
      </c>
      <c r="C144" s="53" t="s">
        <v>359</v>
      </c>
      <c r="D144" s="47" t="s">
        <v>43</v>
      </c>
      <c r="E144" s="19">
        <v>1</v>
      </c>
      <c r="F144" s="19">
        <v>736</v>
      </c>
      <c r="G144" s="19">
        <f>ROUND(F144*1.2245,2)</f>
        <v>901.23</v>
      </c>
      <c r="H144" s="28">
        <f t="shared" si="21"/>
        <v>901.23</v>
      </c>
      <c r="I144" s="19">
        <f t="shared" si="19"/>
        <v>740.47</v>
      </c>
      <c r="J144" s="19">
        <f t="shared" si="20"/>
        <v>160.76</v>
      </c>
      <c r="K144" s="19"/>
      <c r="L144" s="3"/>
      <c r="M144" s="184"/>
      <c r="P144" s="184"/>
      <c r="Q144" s="184"/>
      <c r="R144" s="184"/>
    </row>
    <row r="145" spans="1:18" s="185" customFormat="1" ht="42.75" x14ac:dyDescent="0.2">
      <c r="A145" s="17" t="s">
        <v>334</v>
      </c>
      <c r="B145" s="52" t="s">
        <v>270</v>
      </c>
      <c r="C145" s="53" t="s">
        <v>183</v>
      </c>
      <c r="D145" s="47" t="s">
        <v>43</v>
      </c>
      <c r="E145" s="19">
        <f>3</f>
        <v>3</v>
      </c>
      <c r="F145" s="19">
        <v>231.07</v>
      </c>
      <c r="G145" s="19">
        <f>ROUND(F145*1.3271,2)</f>
        <v>306.64999999999998</v>
      </c>
      <c r="H145" s="28">
        <f t="shared" si="21"/>
        <v>919.95</v>
      </c>
      <c r="I145" s="19">
        <f t="shared" si="19"/>
        <v>755.85</v>
      </c>
      <c r="J145" s="19">
        <f t="shared" si="20"/>
        <v>164.1</v>
      </c>
      <c r="K145" s="19"/>
      <c r="L145" s="3"/>
      <c r="M145" s="184"/>
      <c r="P145" s="184"/>
      <c r="Q145" s="184"/>
      <c r="R145" s="184"/>
    </row>
    <row r="146" spans="1:18" s="185" customFormat="1" ht="28.5" x14ac:dyDescent="0.2">
      <c r="A146" s="17" t="s">
        <v>335</v>
      </c>
      <c r="B146" s="52" t="s">
        <v>199</v>
      </c>
      <c r="C146" s="53" t="s">
        <v>269</v>
      </c>
      <c r="D146" s="47" t="s">
        <v>43</v>
      </c>
      <c r="E146" s="19">
        <f>E129</f>
        <v>2</v>
      </c>
      <c r="F146" s="19">
        <v>97.47</v>
      </c>
      <c r="G146" s="19">
        <f>ROUND(F146*1.3271,2)</f>
        <v>129.35</v>
      </c>
      <c r="H146" s="28">
        <f>ROUND(G146*E146,2)</f>
        <v>258.7</v>
      </c>
      <c r="I146" s="19">
        <f t="shared" si="19"/>
        <v>212.54999999999998</v>
      </c>
      <c r="J146" s="19">
        <f t="shared" si="20"/>
        <v>46.15</v>
      </c>
      <c r="K146" s="19"/>
      <c r="L146" s="3"/>
      <c r="M146" s="184"/>
      <c r="P146" s="184"/>
      <c r="Q146" s="184"/>
      <c r="R146" s="184"/>
    </row>
    <row r="147" spans="1:18" s="185" customFormat="1" ht="28.5" x14ac:dyDescent="0.2">
      <c r="A147" s="17" t="s">
        <v>336</v>
      </c>
      <c r="B147" s="52" t="s">
        <v>277</v>
      </c>
      <c r="C147" s="53" t="s">
        <v>238</v>
      </c>
      <c r="D147" s="47" t="s">
        <v>43</v>
      </c>
      <c r="E147" s="19">
        <f>E133</f>
        <v>3</v>
      </c>
      <c r="F147" s="19">
        <v>421.5</v>
      </c>
      <c r="G147" s="19">
        <f>ROUND(F147*1.3271,2)</f>
        <v>559.37</v>
      </c>
      <c r="H147" s="28">
        <f>ROUND(G147*E147,2)</f>
        <v>1678.11</v>
      </c>
      <c r="I147" s="19">
        <f t="shared" si="19"/>
        <v>1378.78</v>
      </c>
      <c r="J147" s="19">
        <f t="shared" si="20"/>
        <v>299.33</v>
      </c>
      <c r="K147" s="19"/>
      <c r="L147" s="3"/>
      <c r="M147" s="184"/>
      <c r="P147" s="184"/>
      <c r="Q147" s="184"/>
      <c r="R147" s="184"/>
    </row>
    <row r="148" spans="1:18" s="185" customFormat="1" ht="14.25" x14ac:dyDescent="0.2">
      <c r="A148" s="17"/>
      <c r="B148" s="46"/>
      <c r="C148" s="18"/>
      <c r="D148" s="18"/>
      <c r="E148" s="20"/>
      <c r="F148" s="19"/>
      <c r="G148" s="19"/>
      <c r="H148" s="28"/>
      <c r="I148" s="19"/>
      <c r="J148" s="19"/>
      <c r="K148" s="19"/>
      <c r="L148" s="3"/>
      <c r="M148" s="184"/>
      <c r="P148" s="184"/>
      <c r="Q148" s="184"/>
      <c r="R148" s="184"/>
    </row>
    <row r="149" spans="1:18" s="185" customFormat="1" ht="22.5" x14ac:dyDescent="0.3">
      <c r="A149" s="17"/>
      <c r="B149" s="46"/>
      <c r="C149" s="70" t="s">
        <v>319</v>
      </c>
      <c r="D149" s="18"/>
      <c r="E149" s="20"/>
      <c r="F149" s="19"/>
      <c r="G149" s="19"/>
      <c r="H149" s="71">
        <f>ROUND(SUM(H129:H147),2)</f>
        <v>34275.870000000003</v>
      </c>
      <c r="I149" s="71">
        <f>ROUND(SUM(I129:I147),2)</f>
        <v>28161.88</v>
      </c>
      <c r="J149" s="71">
        <f>ROUND(SUM(J129:J147),2)</f>
        <v>6113.99</v>
      </c>
      <c r="K149" s="19"/>
      <c r="L149" s="201">
        <f>I149+J149</f>
        <v>34275.870000000003</v>
      </c>
      <c r="M149" s="185">
        <f>H149*$N$8</f>
        <v>28106.213422036781</v>
      </c>
      <c r="N149" s="185">
        <f>H149*$N$9</f>
        <v>6113.998353733723</v>
      </c>
      <c r="P149" s="184"/>
      <c r="Q149" s="184"/>
      <c r="R149" s="184"/>
    </row>
    <row r="150" spans="1:18" s="185" customFormat="1" ht="15" thickBot="1" x14ac:dyDescent="0.25">
      <c r="A150" s="17"/>
      <c r="B150" s="46"/>
      <c r="C150" s="18"/>
      <c r="D150" s="18"/>
      <c r="E150" s="20"/>
      <c r="F150" s="19"/>
      <c r="G150" s="19"/>
      <c r="H150" s="28"/>
      <c r="I150" s="19"/>
      <c r="J150" s="19"/>
      <c r="K150" s="19"/>
      <c r="L150" s="3"/>
      <c r="M150" s="184"/>
      <c r="P150" s="184"/>
      <c r="Q150" s="184"/>
      <c r="R150" s="184"/>
    </row>
    <row r="151" spans="1:18" s="185" customFormat="1" ht="15" thickBot="1" x14ac:dyDescent="0.25">
      <c r="A151" s="23"/>
      <c r="B151" s="50"/>
      <c r="C151" s="24"/>
      <c r="D151" s="24"/>
      <c r="E151" s="25"/>
      <c r="F151" s="26"/>
      <c r="G151" s="26"/>
      <c r="H151" s="28"/>
      <c r="I151" s="19"/>
      <c r="J151" s="19"/>
      <c r="K151" s="27"/>
      <c r="L151" s="3"/>
      <c r="M151" s="184"/>
      <c r="P151" s="184"/>
      <c r="Q151" s="184"/>
      <c r="R151" s="184"/>
    </row>
    <row r="152" spans="1:18" s="185" customFormat="1" ht="15.95" customHeight="1" thickBot="1" x14ac:dyDescent="0.25">
      <c r="A152" s="237" t="s">
        <v>0</v>
      </c>
      <c r="B152" s="238"/>
      <c r="C152" s="238"/>
      <c r="D152" s="238"/>
      <c r="E152" s="238"/>
      <c r="F152" s="238"/>
      <c r="G152" s="239"/>
      <c r="H152" s="27">
        <f>ROUND(H12+H29+H37+H44+H50+H61+H84+H96+H19+H125+H149,2)</f>
        <v>5288338.13</v>
      </c>
      <c r="I152" s="27">
        <f>ROUND(I12+I29+I37+I44+I50+I61+I84+I96+I19+I125+I149,2)</f>
        <v>4336437.2699999996</v>
      </c>
      <c r="J152" s="27">
        <f>ROUND(J12+J29+J37+J44+J50+J61+J84+J96+J19+J125+J149,2)</f>
        <v>951900.86</v>
      </c>
      <c r="K152" s="27">
        <f>SUM(K8:K151)/2</f>
        <v>0</v>
      </c>
      <c r="L152" s="5"/>
    </row>
    <row r="153" spans="1:18" s="185" customFormat="1" ht="15" thickBot="1" x14ac:dyDescent="0.25">
      <c r="A153" s="240"/>
      <c r="B153" s="241"/>
      <c r="C153" s="241"/>
      <c r="D153" s="241"/>
      <c r="E153" s="242"/>
      <c r="F153" s="187"/>
      <c r="G153" s="221" t="s">
        <v>16</v>
      </c>
      <c r="H153" s="221"/>
      <c r="I153" s="222">
        <f>I152+J152+K152</f>
        <v>5288338.13</v>
      </c>
      <c r="J153" s="223"/>
      <c r="K153" s="224"/>
      <c r="L153" s="188"/>
      <c r="M153" s="188"/>
      <c r="N153" s="186"/>
    </row>
    <row r="154" spans="1:18" ht="14.25" customHeight="1" x14ac:dyDescent="0.2">
      <c r="A154" s="227" t="s">
        <v>399</v>
      </c>
      <c r="B154" s="227"/>
      <c r="C154" s="227"/>
      <c r="D154" s="227"/>
      <c r="E154" s="227"/>
      <c r="F154" s="227"/>
      <c r="G154" s="227"/>
      <c r="H154" s="227"/>
      <c r="I154" s="227"/>
      <c r="J154" s="227"/>
      <c r="K154" s="227"/>
      <c r="L154" s="7"/>
      <c r="M154" s="7"/>
      <c r="N154" s="9"/>
    </row>
    <row r="155" spans="1:18" ht="14.25" x14ac:dyDescent="0.2">
      <c r="A155" s="228"/>
      <c r="B155" s="228"/>
      <c r="C155" s="228"/>
      <c r="D155" s="228"/>
      <c r="E155" s="228"/>
      <c r="F155" s="228"/>
      <c r="G155" s="228"/>
      <c r="H155" s="228"/>
      <c r="I155" s="228"/>
      <c r="J155" s="228"/>
      <c r="K155" s="228"/>
      <c r="L155" s="7"/>
      <c r="M155" s="7">
        <f>SUM(M12:M96)</f>
        <v>4303208.0573739456</v>
      </c>
      <c r="N155" s="7">
        <f>SUM(N12:N96)</f>
        <v>936085.07782587653</v>
      </c>
    </row>
    <row r="156" spans="1:18" ht="14.25" x14ac:dyDescent="0.2">
      <c r="A156" s="30"/>
      <c r="B156" s="30"/>
      <c r="C156" s="30"/>
      <c r="D156" s="30"/>
      <c r="E156" s="30"/>
      <c r="F156" s="214"/>
      <c r="G156" s="119"/>
      <c r="H156" s="119"/>
      <c r="I156" s="31"/>
      <c r="J156" s="31"/>
      <c r="K156" s="31"/>
      <c r="L156" s="209"/>
      <c r="M156" s="7"/>
      <c r="N156" s="9"/>
    </row>
    <row r="157" spans="1:18" ht="14.25" x14ac:dyDescent="0.2">
      <c r="A157" s="30"/>
      <c r="B157" s="30"/>
      <c r="C157" s="30"/>
      <c r="D157" s="30"/>
      <c r="E157" s="30"/>
      <c r="F157" s="214"/>
      <c r="G157" s="119"/>
      <c r="H157" s="119"/>
      <c r="I157" s="31"/>
      <c r="J157" s="31"/>
      <c r="K157" s="31"/>
      <c r="L157" s="209"/>
      <c r="M157" s="7"/>
      <c r="N157" s="9"/>
    </row>
    <row r="158" spans="1:18" ht="14.25" x14ac:dyDescent="0.2">
      <c r="C158" s="217"/>
      <c r="D158" s="217"/>
      <c r="E158" s="217"/>
      <c r="F158" s="218"/>
      <c r="G158" s="217"/>
      <c r="H158" s="217"/>
      <c r="I158" s="217"/>
      <c r="J158" s="217"/>
    </row>
    <row r="159" spans="1:18" ht="14.25" x14ac:dyDescent="0.2">
      <c r="A159" s="6"/>
      <c r="B159" s="6"/>
      <c r="C159" s="6"/>
      <c r="D159" s="6"/>
      <c r="E159" s="7"/>
      <c r="F159" s="188"/>
      <c r="G159" s="7"/>
      <c r="H159" s="7"/>
      <c r="I159" s="7"/>
      <c r="J159" s="7"/>
      <c r="K159" s="8"/>
      <c r="L159" s="7"/>
      <c r="M159" s="7"/>
      <c r="N159" s="9"/>
    </row>
    <row r="160" spans="1:18" ht="14.25" x14ac:dyDescent="0.2">
      <c r="C160" s="217"/>
      <c r="D160" s="217"/>
      <c r="E160" s="217"/>
      <c r="F160" s="218"/>
      <c r="G160" s="217"/>
      <c r="H160" s="217"/>
      <c r="I160" s="217"/>
      <c r="J160" s="217"/>
    </row>
    <row r="161" spans="1:14" ht="14.25" x14ac:dyDescent="0.2">
      <c r="A161" s="6"/>
      <c r="B161" s="6"/>
      <c r="C161" s="6"/>
      <c r="D161" s="6"/>
      <c r="E161" s="7"/>
      <c r="F161" s="188"/>
      <c r="G161" s="7"/>
      <c r="H161" s="7"/>
      <c r="I161" s="7"/>
      <c r="J161" s="7"/>
      <c r="K161" s="8"/>
      <c r="L161" s="7"/>
      <c r="M161" s="7"/>
      <c r="N161" s="9"/>
    </row>
    <row r="162" spans="1:14" ht="15" thickBot="1" x14ac:dyDescent="0.25">
      <c r="C162" s="219"/>
      <c r="D162" s="217"/>
      <c r="E162" s="217"/>
      <c r="F162" s="218"/>
      <c r="G162" s="217"/>
      <c r="H162" s="220"/>
      <c r="I162" s="220"/>
      <c r="J162" s="220"/>
    </row>
    <row r="163" spans="1:14" ht="41.25" customHeight="1" thickTop="1" x14ac:dyDescent="0.2">
      <c r="A163" s="6"/>
      <c r="B163" s="6"/>
      <c r="C163" s="417" t="s">
        <v>73</v>
      </c>
      <c r="D163" s="216"/>
      <c r="E163" s="7"/>
      <c r="F163" s="188"/>
      <c r="G163" s="7"/>
      <c r="H163" s="246" t="s">
        <v>241</v>
      </c>
      <c r="I163" s="246"/>
      <c r="J163" s="246"/>
      <c r="K163" s="8"/>
      <c r="L163" s="7"/>
      <c r="M163" s="7"/>
      <c r="N163" s="9"/>
    </row>
    <row r="164" spans="1:14" ht="14.25" x14ac:dyDescent="0.2">
      <c r="A164" s="4"/>
      <c r="B164" s="4"/>
      <c r="C164" s="6"/>
      <c r="D164" s="6"/>
      <c r="E164" s="7"/>
      <c r="F164" s="188"/>
      <c r="G164" s="7"/>
      <c r="H164" s="236" t="s">
        <v>242</v>
      </c>
      <c r="I164" s="236"/>
      <c r="J164" s="236"/>
      <c r="K164" s="9"/>
      <c r="L164" s="9"/>
      <c r="M164" s="9"/>
      <c r="N164" s="9"/>
    </row>
    <row r="165" spans="1:14" x14ac:dyDescent="0.2">
      <c r="E165" s="9"/>
      <c r="F165" s="186"/>
      <c r="G165" s="9"/>
      <c r="H165" s="9"/>
      <c r="I165" s="9"/>
      <c r="J165" s="9"/>
      <c r="K165" s="9"/>
      <c r="L165" s="9"/>
      <c r="M165" s="9"/>
      <c r="N165" s="9"/>
    </row>
    <row r="166" spans="1:14" x14ac:dyDescent="0.2">
      <c r="C166" s="29"/>
      <c r="E166" s="9"/>
      <c r="F166" s="186"/>
      <c r="G166" s="9"/>
      <c r="H166" s="9"/>
      <c r="I166" s="9"/>
      <c r="J166" s="9"/>
      <c r="K166" s="9"/>
      <c r="L166" s="9"/>
      <c r="M166" s="9"/>
      <c r="N166" s="9"/>
    </row>
    <row r="179" spans="8:8" x14ac:dyDescent="0.2">
      <c r="H179" s="211"/>
    </row>
  </sheetData>
  <mergeCells count="25">
    <mergeCell ref="A1:C1"/>
    <mergeCell ref="H6:H7"/>
    <mergeCell ref="I6:K6"/>
    <mergeCell ref="A2:C2"/>
    <mergeCell ref="G5:H5"/>
    <mergeCell ref="D1:J1"/>
    <mergeCell ref="E2:J2"/>
    <mergeCell ref="H164:J164"/>
    <mergeCell ref="F6:F7"/>
    <mergeCell ref="A152:G152"/>
    <mergeCell ref="A153:E153"/>
    <mergeCell ref="A3:C3"/>
    <mergeCell ref="H163:J163"/>
    <mergeCell ref="A6:A7"/>
    <mergeCell ref="I5:K5"/>
    <mergeCell ref="B6:B7"/>
    <mergeCell ref="K1:K3"/>
    <mergeCell ref="G153:H153"/>
    <mergeCell ref="I153:K153"/>
    <mergeCell ref="C6:C7"/>
    <mergeCell ref="A154:K155"/>
    <mergeCell ref="E6:E7"/>
    <mergeCell ref="E3:J3"/>
    <mergeCell ref="G6:G7"/>
    <mergeCell ref="D6:D7"/>
  </mergeCells>
  <phoneticPr fontId="0" type="noConversion"/>
  <printOptions horizontalCentered="1"/>
  <pageMargins left="1.1811023622047245" right="0.78740157480314965" top="1.1811023622047245" bottom="0.78740157480314965" header="0" footer="0.39370078740157483"/>
  <pageSetup paperSize="9" scale="49" fitToHeight="8" orientation="landscape" horizontalDpi="4294967294" verticalDpi="4294967294" r:id="rId1"/>
  <headerFooter alignWithMargins="0">
    <oddFooter>Página &amp;P de &amp;N</oddFooter>
  </headerFooter>
  <rowBreaks count="3" manualBreakCount="3">
    <brk id="106" max="10" man="1"/>
    <brk id="126" max="10" man="1"/>
    <brk id="146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9"/>
  <sheetViews>
    <sheetView view="pageBreakPreview" topLeftCell="A88" zoomScaleNormal="100" zoomScaleSheetLayoutView="100" workbookViewId="0">
      <selection activeCell="A120" sqref="A120"/>
    </sheetView>
  </sheetViews>
  <sheetFormatPr defaultRowHeight="12.75" x14ac:dyDescent="0.2"/>
  <cols>
    <col min="1" max="1" width="52.28515625" customWidth="1"/>
    <col min="2" max="2" width="14" bestFit="1" customWidth="1"/>
    <col min="3" max="3" width="19.85546875" bestFit="1" customWidth="1"/>
    <col min="4" max="4" width="23.28515625" bestFit="1" customWidth="1"/>
  </cols>
  <sheetData>
    <row r="1" spans="1:4" ht="15.75" x14ac:dyDescent="0.25">
      <c r="A1" s="271" t="s">
        <v>62</v>
      </c>
      <c r="B1" s="272"/>
      <c r="C1" s="273"/>
      <c r="D1" s="274"/>
    </row>
    <row r="2" spans="1:4" ht="16.5" thickBot="1" x14ac:dyDescent="0.3">
      <c r="A2" s="57" t="s">
        <v>60</v>
      </c>
      <c r="B2" s="58" t="s">
        <v>3</v>
      </c>
      <c r="C2" s="59" t="s">
        <v>61</v>
      </c>
      <c r="D2" s="60" t="s">
        <v>64</v>
      </c>
    </row>
    <row r="3" spans="1:4" ht="15" x14ac:dyDescent="0.2">
      <c r="A3" s="194" t="s">
        <v>201</v>
      </c>
      <c r="B3" s="62" t="s">
        <v>200</v>
      </c>
      <c r="C3" s="63">
        <v>28</v>
      </c>
      <c r="D3" s="64">
        <v>63</v>
      </c>
    </row>
    <row r="4" spans="1:4" ht="15" x14ac:dyDescent="0.2">
      <c r="A4" s="65" t="s">
        <v>202</v>
      </c>
      <c r="B4" s="62" t="s">
        <v>200</v>
      </c>
      <c r="C4" s="66">
        <v>108</v>
      </c>
      <c r="D4" s="64">
        <v>63</v>
      </c>
    </row>
    <row r="5" spans="1:4" ht="15" x14ac:dyDescent="0.2">
      <c r="A5" s="65" t="s">
        <v>203</v>
      </c>
      <c r="B5" s="62" t="s">
        <v>200</v>
      </c>
      <c r="C5" s="66">
        <v>111</v>
      </c>
      <c r="D5" s="64">
        <v>63</v>
      </c>
    </row>
    <row r="6" spans="1:4" ht="15" x14ac:dyDescent="0.2">
      <c r="A6" s="65" t="s">
        <v>204</v>
      </c>
      <c r="B6" s="62" t="s">
        <v>200</v>
      </c>
      <c r="C6" s="66">
        <v>120</v>
      </c>
      <c r="D6" s="64">
        <v>63</v>
      </c>
    </row>
    <row r="7" spans="1:4" ht="15" x14ac:dyDescent="0.2">
      <c r="A7" s="65" t="s">
        <v>205</v>
      </c>
      <c r="B7" s="62" t="s">
        <v>200</v>
      </c>
      <c r="C7" s="66">
        <v>121</v>
      </c>
      <c r="D7" s="64">
        <v>63</v>
      </c>
    </row>
    <row r="8" spans="1:4" ht="15" x14ac:dyDescent="0.2">
      <c r="A8" s="65" t="s">
        <v>206</v>
      </c>
      <c r="B8" s="62" t="s">
        <v>200</v>
      </c>
      <c r="C8" s="66">
        <v>85</v>
      </c>
      <c r="D8" s="64">
        <v>63</v>
      </c>
    </row>
    <row r="9" spans="1:4" ht="15" x14ac:dyDescent="0.2">
      <c r="A9" s="65" t="s">
        <v>207</v>
      </c>
      <c r="B9" s="62" t="s">
        <v>200</v>
      </c>
      <c r="C9" s="66">
        <v>19</v>
      </c>
      <c r="D9" s="64">
        <v>63</v>
      </c>
    </row>
    <row r="10" spans="1:4" ht="15" x14ac:dyDescent="0.2">
      <c r="A10" s="65" t="s">
        <v>208</v>
      </c>
      <c r="B10" s="62" t="s">
        <v>200</v>
      </c>
      <c r="C10" s="66">
        <v>18</v>
      </c>
      <c r="D10" s="64">
        <v>63</v>
      </c>
    </row>
    <row r="11" spans="1:4" ht="15" x14ac:dyDescent="0.2">
      <c r="A11" s="65" t="s">
        <v>209</v>
      </c>
      <c r="B11" s="62" t="s">
        <v>200</v>
      </c>
      <c r="C11" s="66">
        <v>33</v>
      </c>
      <c r="D11" s="64">
        <v>63</v>
      </c>
    </row>
    <row r="12" spans="1:4" ht="15" x14ac:dyDescent="0.2">
      <c r="A12" s="65" t="s">
        <v>210</v>
      </c>
      <c r="B12" s="62" t="s">
        <v>200</v>
      </c>
      <c r="C12" s="66">
        <v>56</v>
      </c>
      <c r="D12" s="64">
        <v>63</v>
      </c>
    </row>
    <row r="13" spans="1:4" ht="15" x14ac:dyDescent="0.2">
      <c r="A13" s="65" t="s">
        <v>211</v>
      </c>
      <c r="B13" s="62" t="s">
        <v>200</v>
      </c>
      <c r="C13" s="66">
        <v>101</v>
      </c>
      <c r="D13" s="64">
        <v>63</v>
      </c>
    </row>
    <row r="14" spans="1:4" ht="15" x14ac:dyDescent="0.2">
      <c r="A14" s="65" t="s">
        <v>212</v>
      </c>
      <c r="B14" s="62" t="s">
        <v>200</v>
      </c>
      <c r="C14" s="66">
        <v>99</v>
      </c>
      <c r="D14" s="64">
        <v>63</v>
      </c>
    </row>
    <row r="15" spans="1:4" ht="15" x14ac:dyDescent="0.2">
      <c r="A15" s="65" t="s">
        <v>213</v>
      </c>
      <c r="B15" s="62" t="s">
        <v>200</v>
      </c>
      <c r="C15" s="66">
        <v>79</v>
      </c>
      <c r="D15" s="64">
        <v>63</v>
      </c>
    </row>
    <row r="16" spans="1:4" ht="15" x14ac:dyDescent="0.2">
      <c r="A16" s="65" t="s">
        <v>214</v>
      </c>
      <c r="B16" s="62" t="s">
        <v>200</v>
      </c>
      <c r="C16" s="66">
        <v>21</v>
      </c>
      <c r="D16" s="64">
        <v>63</v>
      </c>
    </row>
    <row r="17" spans="1:4" ht="15" x14ac:dyDescent="0.2">
      <c r="A17" s="65" t="s">
        <v>215</v>
      </c>
      <c r="B17" s="62" t="s">
        <v>200</v>
      </c>
      <c r="C17" s="66">
        <v>40</v>
      </c>
      <c r="D17" s="64">
        <v>63</v>
      </c>
    </row>
    <row r="18" spans="1:4" ht="15" x14ac:dyDescent="0.2">
      <c r="A18" s="65" t="s">
        <v>216</v>
      </c>
      <c r="B18" s="62" t="s">
        <v>200</v>
      </c>
      <c r="C18" s="66">
        <v>83</v>
      </c>
      <c r="D18" s="64">
        <v>63</v>
      </c>
    </row>
    <row r="19" spans="1:4" ht="15" x14ac:dyDescent="0.2">
      <c r="A19" s="65" t="s">
        <v>217</v>
      </c>
      <c r="B19" s="62" t="s">
        <v>200</v>
      </c>
      <c r="C19" s="66">
        <v>90</v>
      </c>
      <c r="D19" s="64">
        <v>63</v>
      </c>
    </row>
    <row r="20" spans="1:4" ht="15" x14ac:dyDescent="0.2">
      <c r="A20" s="65" t="s">
        <v>218</v>
      </c>
      <c r="B20" s="62" t="s">
        <v>200</v>
      </c>
      <c r="C20" s="66">
        <v>93</v>
      </c>
      <c r="D20" s="64">
        <v>63</v>
      </c>
    </row>
    <row r="21" spans="1:4" ht="15" x14ac:dyDescent="0.2">
      <c r="A21" s="65" t="s">
        <v>219</v>
      </c>
      <c r="B21" s="62" t="s">
        <v>200</v>
      </c>
      <c r="C21" s="66">
        <v>83</v>
      </c>
      <c r="D21" s="64">
        <v>63</v>
      </c>
    </row>
    <row r="22" spans="1:4" ht="15" x14ac:dyDescent="0.2">
      <c r="A22" s="65" t="s">
        <v>220</v>
      </c>
      <c r="B22" s="62" t="s">
        <v>200</v>
      </c>
      <c r="C22" s="66">
        <v>56</v>
      </c>
      <c r="D22" s="64">
        <v>63</v>
      </c>
    </row>
    <row r="23" spans="1:4" ht="15" x14ac:dyDescent="0.2">
      <c r="A23" s="65" t="s">
        <v>221</v>
      </c>
      <c r="B23" s="62" t="s">
        <v>200</v>
      </c>
      <c r="C23" s="66">
        <v>5</v>
      </c>
      <c r="D23" s="64">
        <v>63</v>
      </c>
    </row>
    <row r="24" spans="1:4" ht="15" x14ac:dyDescent="0.2">
      <c r="A24" s="65" t="s">
        <v>222</v>
      </c>
      <c r="B24" s="62" t="s">
        <v>200</v>
      </c>
      <c r="C24" s="66">
        <v>22</v>
      </c>
      <c r="D24" s="64">
        <v>63</v>
      </c>
    </row>
    <row r="25" spans="1:4" ht="15" x14ac:dyDescent="0.2">
      <c r="A25" s="65" t="s">
        <v>223</v>
      </c>
      <c r="B25" s="62" t="s">
        <v>200</v>
      </c>
      <c r="C25" s="66">
        <v>18</v>
      </c>
      <c r="D25" s="64">
        <v>63</v>
      </c>
    </row>
    <row r="26" spans="1:4" ht="15" x14ac:dyDescent="0.2">
      <c r="A26" s="65" t="s">
        <v>224</v>
      </c>
      <c r="B26" s="62" t="s">
        <v>200</v>
      </c>
      <c r="C26" s="66">
        <v>32</v>
      </c>
      <c r="D26" s="64">
        <v>63</v>
      </c>
    </row>
    <row r="27" spans="1:4" ht="15" x14ac:dyDescent="0.2">
      <c r="A27" s="65" t="s">
        <v>225</v>
      </c>
      <c r="B27" s="62" t="s">
        <v>200</v>
      </c>
      <c r="C27" s="66">
        <v>33</v>
      </c>
      <c r="D27" s="64">
        <v>63</v>
      </c>
    </row>
    <row r="28" spans="1:4" ht="15" x14ac:dyDescent="0.2">
      <c r="A28" s="65" t="s">
        <v>226</v>
      </c>
      <c r="B28" s="62" t="s">
        <v>200</v>
      </c>
      <c r="C28" s="66">
        <v>16</v>
      </c>
      <c r="D28" s="64">
        <v>63</v>
      </c>
    </row>
    <row r="29" spans="1:4" ht="15" x14ac:dyDescent="0.2">
      <c r="A29" s="65" t="s">
        <v>227</v>
      </c>
      <c r="B29" s="62" t="s">
        <v>200</v>
      </c>
      <c r="C29" s="66">
        <v>16</v>
      </c>
      <c r="D29" s="64">
        <v>63</v>
      </c>
    </row>
    <row r="30" spans="1:4" ht="15" x14ac:dyDescent="0.2">
      <c r="A30" s="65" t="s">
        <v>228</v>
      </c>
      <c r="B30" s="62" t="s">
        <v>200</v>
      </c>
      <c r="C30" s="66">
        <v>14</v>
      </c>
      <c r="D30" s="64">
        <v>63</v>
      </c>
    </row>
    <row r="31" spans="1:4" ht="15" x14ac:dyDescent="0.2">
      <c r="A31" s="65" t="s">
        <v>229</v>
      </c>
      <c r="B31" s="62" t="s">
        <v>200</v>
      </c>
      <c r="C31" s="66">
        <v>24</v>
      </c>
      <c r="D31" s="64">
        <v>63</v>
      </c>
    </row>
    <row r="32" spans="1:4" ht="15" x14ac:dyDescent="0.2">
      <c r="A32" s="65"/>
      <c r="B32" s="62" t="s">
        <v>200</v>
      </c>
      <c r="C32" s="66">
        <v>0</v>
      </c>
      <c r="D32" s="64">
        <v>63</v>
      </c>
    </row>
    <row r="33" spans="1:4" ht="15.75" thickBot="1" x14ac:dyDescent="0.25">
      <c r="A33" s="65"/>
      <c r="B33" s="62" t="s">
        <v>200</v>
      </c>
      <c r="C33" s="66">
        <v>0</v>
      </c>
      <c r="D33" s="64">
        <v>63</v>
      </c>
    </row>
    <row r="34" spans="1:4" ht="16.5" thickBot="1" x14ac:dyDescent="0.3">
      <c r="A34" s="275" t="s">
        <v>63</v>
      </c>
      <c r="B34" s="276"/>
      <c r="C34" s="277"/>
      <c r="D34" s="69">
        <f>SUM(C3:C33)</f>
        <v>1624</v>
      </c>
    </row>
    <row r="35" spans="1:4" ht="16.5" thickBot="1" x14ac:dyDescent="0.3">
      <c r="A35" s="57" t="s">
        <v>60</v>
      </c>
      <c r="B35" s="58" t="s">
        <v>3</v>
      </c>
      <c r="C35" s="59" t="s">
        <v>61</v>
      </c>
      <c r="D35" s="60" t="s">
        <v>64</v>
      </c>
    </row>
    <row r="36" spans="1:4" ht="15" x14ac:dyDescent="0.2">
      <c r="A36" s="194" t="s">
        <v>201</v>
      </c>
      <c r="B36" s="62" t="s">
        <v>200</v>
      </c>
      <c r="C36" s="63">
        <v>32</v>
      </c>
      <c r="D36" s="64">
        <v>110</v>
      </c>
    </row>
    <row r="37" spans="1:4" ht="15" x14ac:dyDescent="0.2">
      <c r="A37" s="65" t="s">
        <v>202</v>
      </c>
      <c r="B37" s="62" t="s">
        <v>200</v>
      </c>
      <c r="C37" s="66"/>
      <c r="D37" s="64">
        <v>110</v>
      </c>
    </row>
    <row r="38" spans="1:4" ht="15" x14ac:dyDescent="0.2">
      <c r="A38" s="65" t="s">
        <v>203</v>
      </c>
      <c r="B38" s="62" t="s">
        <v>200</v>
      </c>
      <c r="C38" s="66"/>
      <c r="D38" s="64">
        <v>110</v>
      </c>
    </row>
    <row r="39" spans="1:4" ht="15" x14ac:dyDescent="0.2">
      <c r="A39" s="65" t="s">
        <v>204</v>
      </c>
      <c r="B39" s="62" t="s">
        <v>200</v>
      </c>
      <c r="C39" s="66"/>
      <c r="D39" s="64">
        <v>110</v>
      </c>
    </row>
    <row r="40" spans="1:4" ht="15" x14ac:dyDescent="0.2">
      <c r="A40" s="65" t="s">
        <v>205</v>
      </c>
      <c r="B40" s="62" t="s">
        <v>200</v>
      </c>
      <c r="C40" s="66"/>
      <c r="D40" s="64">
        <v>110</v>
      </c>
    </row>
    <row r="41" spans="1:4" ht="15" x14ac:dyDescent="0.2">
      <c r="A41" s="65" t="s">
        <v>206</v>
      </c>
      <c r="B41" s="62" t="s">
        <v>200</v>
      </c>
      <c r="C41" s="66"/>
      <c r="D41" s="64">
        <v>110</v>
      </c>
    </row>
    <row r="42" spans="1:4" ht="15" x14ac:dyDescent="0.2">
      <c r="A42" s="65" t="s">
        <v>207</v>
      </c>
      <c r="B42" s="62" t="s">
        <v>200</v>
      </c>
      <c r="C42" s="66"/>
      <c r="D42" s="64">
        <v>110</v>
      </c>
    </row>
    <row r="43" spans="1:4" ht="15" x14ac:dyDescent="0.2">
      <c r="A43" s="65" t="s">
        <v>208</v>
      </c>
      <c r="B43" s="62" t="s">
        <v>200</v>
      </c>
      <c r="C43" s="66"/>
      <c r="D43" s="64">
        <v>110</v>
      </c>
    </row>
    <row r="44" spans="1:4" ht="15" x14ac:dyDescent="0.2">
      <c r="A44" s="65" t="s">
        <v>209</v>
      </c>
      <c r="B44" s="62" t="s">
        <v>200</v>
      </c>
      <c r="C44" s="66"/>
      <c r="D44" s="64">
        <v>110</v>
      </c>
    </row>
    <row r="45" spans="1:4" ht="15" x14ac:dyDescent="0.2">
      <c r="A45" s="65" t="s">
        <v>210</v>
      </c>
      <c r="B45" s="62" t="s">
        <v>200</v>
      </c>
      <c r="C45" s="66"/>
      <c r="D45" s="64">
        <v>110</v>
      </c>
    </row>
    <row r="46" spans="1:4" ht="15" x14ac:dyDescent="0.2">
      <c r="A46" s="65" t="s">
        <v>211</v>
      </c>
      <c r="B46" s="62" t="s">
        <v>200</v>
      </c>
      <c r="C46" s="66"/>
      <c r="D46" s="64">
        <v>110</v>
      </c>
    </row>
    <row r="47" spans="1:4" ht="15" x14ac:dyDescent="0.2">
      <c r="A47" s="65" t="s">
        <v>212</v>
      </c>
      <c r="B47" s="62" t="s">
        <v>200</v>
      </c>
      <c r="C47" s="66"/>
      <c r="D47" s="64">
        <v>110</v>
      </c>
    </row>
    <row r="48" spans="1:4" ht="15" x14ac:dyDescent="0.2">
      <c r="A48" s="65" t="s">
        <v>213</v>
      </c>
      <c r="B48" s="62" t="s">
        <v>200</v>
      </c>
      <c r="C48" s="66"/>
      <c r="D48" s="64">
        <v>110</v>
      </c>
    </row>
    <row r="49" spans="1:4" ht="15" x14ac:dyDescent="0.2">
      <c r="A49" s="65" t="s">
        <v>214</v>
      </c>
      <c r="B49" s="62" t="s">
        <v>200</v>
      </c>
      <c r="C49" s="66"/>
      <c r="D49" s="64">
        <v>110</v>
      </c>
    </row>
    <row r="50" spans="1:4" ht="15" x14ac:dyDescent="0.2">
      <c r="A50" s="65" t="s">
        <v>215</v>
      </c>
      <c r="B50" s="62" t="s">
        <v>200</v>
      </c>
      <c r="C50" s="66"/>
      <c r="D50" s="64">
        <v>110</v>
      </c>
    </row>
    <row r="51" spans="1:4" ht="15" x14ac:dyDescent="0.2">
      <c r="A51" s="65" t="s">
        <v>216</v>
      </c>
      <c r="B51" s="62" t="s">
        <v>200</v>
      </c>
      <c r="C51" s="66"/>
      <c r="D51" s="64">
        <v>110</v>
      </c>
    </row>
    <row r="52" spans="1:4" ht="15" x14ac:dyDescent="0.2">
      <c r="A52" s="65" t="s">
        <v>217</v>
      </c>
      <c r="B52" s="62" t="s">
        <v>200</v>
      </c>
      <c r="C52" s="66"/>
      <c r="D52" s="64">
        <v>110</v>
      </c>
    </row>
    <row r="53" spans="1:4" ht="15" x14ac:dyDescent="0.2">
      <c r="A53" s="65" t="s">
        <v>218</v>
      </c>
      <c r="B53" s="62" t="s">
        <v>200</v>
      </c>
      <c r="C53" s="66"/>
      <c r="D53" s="64">
        <v>110</v>
      </c>
    </row>
    <row r="54" spans="1:4" ht="15" x14ac:dyDescent="0.2">
      <c r="A54" s="65" t="s">
        <v>219</v>
      </c>
      <c r="B54" s="62" t="s">
        <v>200</v>
      </c>
      <c r="C54" s="66"/>
      <c r="D54" s="64">
        <v>110</v>
      </c>
    </row>
    <row r="55" spans="1:4" ht="15" x14ac:dyDescent="0.2">
      <c r="A55" s="65" t="s">
        <v>220</v>
      </c>
      <c r="B55" s="62" t="s">
        <v>200</v>
      </c>
      <c r="C55" s="66"/>
      <c r="D55" s="64">
        <v>110</v>
      </c>
    </row>
    <row r="56" spans="1:4" ht="15" x14ac:dyDescent="0.2">
      <c r="A56" s="65" t="s">
        <v>221</v>
      </c>
      <c r="B56" s="62" t="s">
        <v>200</v>
      </c>
      <c r="C56" s="66"/>
      <c r="D56" s="64">
        <v>110</v>
      </c>
    </row>
    <row r="57" spans="1:4" ht="15" x14ac:dyDescent="0.2">
      <c r="A57" s="65" t="s">
        <v>222</v>
      </c>
      <c r="B57" s="62" t="s">
        <v>200</v>
      </c>
      <c r="C57" s="66"/>
      <c r="D57" s="64">
        <v>110</v>
      </c>
    </row>
    <row r="58" spans="1:4" ht="15" x14ac:dyDescent="0.2">
      <c r="A58" s="65" t="s">
        <v>223</v>
      </c>
      <c r="B58" s="62" t="s">
        <v>200</v>
      </c>
      <c r="C58" s="66">
        <v>22</v>
      </c>
      <c r="D58" s="64">
        <v>110</v>
      </c>
    </row>
    <row r="59" spans="1:4" ht="15" x14ac:dyDescent="0.2">
      <c r="A59" s="65" t="s">
        <v>224</v>
      </c>
      <c r="B59" s="62" t="s">
        <v>200</v>
      </c>
      <c r="C59" s="66"/>
      <c r="D59" s="64">
        <v>110</v>
      </c>
    </row>
    <row r="60" spans="1:4" ht="15" x14ac:dyDescent="0.2">
      <c r="A60" s="65" t="s">
        <v>225</v>
      </c>
      <c r="B60" s="62" t="s">
        <v>200</v>
      </c>
      <c r="C60" s="66"/>
      <c r="D60" s="64">
        <v>110</v>
      </c>
    </row>
    <row r="61" spans="1:4" ht="15" x14ac:dyDescent="0.2">
      <c r="A61" s="65" t="s">
        <v>226</v>
      </c>
      <c r="B61" s="62" t="s">
        <v>200</v>
      </c>
      <c r="C61" s="66"/>
      <c r="D61" s="64">
        <v>110</v>
      </c>
    </row>
    <row r="62" spans="1:4" ht="15" x14ac:dyDescent="0.2">
      <c r="A62" s="65" t="s">
        <v>227</v>
      </c>
      <c r="B62" s="62" t="s">
        <v>200</v>
      </c>
      <c r="C62" s="66"/>
      <c r="D62" s="64">
        <v>110</v>
      </c>
    </row>
    <row r="63" spans="1:4" ht="15" x14ac:dyDescent="0.2">
      <c r="A63" s="65" t="s">
        <v>228</v>
      </c>
      <c r="B63" s="62" t="s">
        <v>200</v>
      </c>
      <c r="C63" s="66"/>
      <c r="D63" s="64">
        <v>110</v>
      </c>
    </row>
    <row r="64" spans="1:4" ht="15" x14ac:dyDescent="0.2">
      <c r="A64" s="65" t="s">
        <v>229</v>
      </c>
      <c r="B64" s="62" t="s">
        <v>200</v>
      </c>
      <c r="C64" s="66">
        <v>44</v>
      </c>
      <c r="D64" s="64">
        <v>110</v>
      </c>
    </row>
    <row r="65" spans="1:4" ht="15" x14ac:dyDescent="0.2">
      <c r="A65" s="65"/>
      <c r="B65" s="62" t="s">
        <v>200</v>
      </c>
      <c r="C65" s="66"/>
      <c r="D65" s="64">
        <v>110</v>
      </c>
    </row>
    <row r="66" spans="1:4" ht="15.75" thickBot="1" x14ac:dyDescent="0.25">
      <c r="A66" s="67"/>
      <c r="B66" s="62" t="s">
        <v>200</v>
      </c>
      <c r="C66" s="68"/>
      <c r="D66" s="64">
        <v>110</v>
      </c>
    </row>
    <row r="67" spans="1:4" ht="16.5" thickBot="1" x14ac:dyDescent="0.3">
      <c r="A67" s="275" t="s">
        <v>63</v>
      </c>
      <c r="B67" s="276"/>
      <c r="C67" s="277"/>
      <c r="D67" s="69">
        <f>SUM(C36:C66)</f>
        <v>98</v>
      </c>
    </row>
    <row r="68" spans="1:4" ht="16.5" thickBot="1" x14ac:dyDescent="0.3">
      <c r="A68" s="57" t="s">
        <v>60</v>
      </c>
      <c r="B68" s="58" t="s">
        <v>3</v>
      </c>
      <c r="C68" s="59" t="s">
        <v>61</v>
      </c>
      <c r="D68" s="60" t="s">
        <v>64</v>
      </c>
    </row>
    <row r="69" spans="1:4" ht="15" x14ac:dyDescent="0.2">
      <c r="A69" s="194" t="s">
        <v>201</v>
      </c>
      <c r="B69" s="62" t="s">
        <v>200</v>
      </c>
      <c r="C69" s="63"/>
      <c r="D69" s="64">
        <v>160</v>
      </c>
    </row>
    <row r="70" spans="1:4" ht="15" x14ac:dyDescent="0.2">
      <c r="A70" s="65" t="s">
        <v>202</v>
      </c>
      <c r="B70" s="62" t="s">
        <v>200</v>
      </c>
      <c r="C70" s="66"/>
      <c r="D70" s="64">
        <v>160</v>
      </c>
    </row>
    <row r="71" spans="1:4" ht="15" x14ac:dyDescent="0.2">
      <c r="A71" s="65" t="s">
        <v>203</v>
      </c>
      <c r="B71" s="62" t="s">
        <v>200</v>
      </c>
      <c r="C71" s="66"/>
      <c r="D71" s="64">
        <v>160</v>
      </c>
    </row>
    <row r="72" spans="1:4" ht="15" x14ac:dyDescent="0.2">
      <c r="A72" s="65" t="s">
        <v>204</v>
      </c>
      <c r="B72" s="62" t="s">
        <v>200</v>
      </c>
      <c r="C72" s="66"/>
      <c r="D72" s="64">
        <v>160</v>
      </c>
    </row>
    <row r="73" spans="1:4" ht="15" x14ac:dyDescent="0.2">
      <c r="A73" s="65" t="s">
        <v>205</v>
      </c>
      <c r="B73" s="62" t="s">
        <v>200</v>
      </c>
      <c r="C73" s="66"/>
      <c r="D73" s="64">
        <v>160</v>
      </c>
    </row>
    <row r="74" spans="1:4" ht="15" x14ac:dyDescent="0.2">
      <c r="A74" s="65" t="s">
        <v>206</v>
      </c>
      <c r="B74" s="62" t="s">
        <v>200</v>
      </c>
      <c r="C74" s="66"/>
      <c r="D74" s="64">
        <v>160</v>
      </c>
    </row>
    <row r="75" spans="1:4" ht="15" x14ac:dyDescent="0.2">
      <c r="A75" s="65" t="s">
        <v>207</v>
      </c>
      <c r="B75" s="62" t="s">
        <v>200</v>
      </c>
      <c r="C75" s="66"/>
      <c r="D75" s="64">
        <v>160</v>
      </c>
    </row>
    <row r="76" spans="1:4" ht="15" x14ac:dyDescent="0.2">
      <c r="A76" s="65" t="s">
        <v>208</v>
      </c>
      <c r="B76" s="62" t="s">
        <v>200</v>
      </c>
      <c r="C76" s="66"/>
      <c r="D76" s="64">
        <v>160</v>
      </c>
    </row>
    <row r="77" spans="1:4" ht="15" x14ac:dyDescent="0.2">
      <c r="A77" s="65" t="s">
        <v>209</v>
      </c>
      <c r="B77" s="62" t="s">
        <v>200</v>
      </c>
      <c r="C77" s="66"/>
      <c r="D77" s="64">
        <v>160</v>
      </c>
    </row>
    <row r="78" spans="1:4" ht="15" x14ac:dyDescent="0.2">
      <c r="A78" s="65" t="s">
        <v>210</v>
      </c>
      <c r="B78" s="62" t="s">
        <v>200</v>
      </c>
      <c r="C78" s="66">
        <v>21</v>
      </c>
      <c r="D78" s="64">
        <v>160</v>
      </c>
    </row>
    <row r="79" spans="1:4" ht="15" x14ac:dyDescent="0.2">
      <c r="A79" s="65" t="s">
        <v>211</v>
      </c>
      <c r="B79" s="62" t="s">
        <v>200</v>
      </c>
      <c r="C79" s="66"/>
      <c r="D79" s="64">
        <v>160</v>
      </c>
    </row>
    <row r="80" spans="1:4" ht="15" x14ac:dyDescent="0.2">
      <c r="A80" s="65" t="s">
        <v>212</v>
      </c>
      <c r="B80" s="62" t="s">
        <v>200</v>
      </c>
      <c r="C80" s="66"/>
      <c r="D80" s="64">
        <v>160</v>
      </c>
    </row>
    <row r="81" spans="1:4" ht="15" x14ac:dyDescent="0.2">
      <c r="A81" s="65" t="s">
        <v>213</v>
      </c>
      <c r="B81" s="62" t="s">
        <v>200</v>
      </c>
      <c r="C81" s="66"/>
      <c r="D81" s="64">
        <v>160</v>
      </c>
    </row>
    <row r="82" spans="1:4" ht="15" x14ac:dyDescent="0.2">
      <c r="A82" s="65" t="s">
        <v>214</v>
      </c>
      <c r="B82" s="62" t="s">
        <v>200</v>
      </c>
      <c r="C82" s="66"/>
      <c r="D82" s="64">
        <v>160</v>
      </c>
    </row>
    <row r="83" spans="1:4" ht="15" x14ac:dyDescent="0.2">
      <c r="A83" s="65" t="s">
        <v>215</v>
      </c>
      <c r="B83" s="62" t="s">
        <v>200</v>
      </c>
      <c r="C83" s="66"/>
      <c r="D83" s="64">
        <v>160</v>
      </c>
    </row>
    <row r="84" spans="1:4" ht="15" x14ac:dyDescent="0.2">
      <c r="A84" s="65" t="s">
        <v>216</v>
      </c>
      <c r="B84" s="62" t="s">
        <v>200</v>
      </c>
      <c r="C84" s="66"/>
      <c r="D84" s="64">
        <v>160</v>
      </c>
    </row>
    <row r="85" spans="1:4" ht="15" x14ac:dyDescent="0.2">
      <c r="A85" s="65" t="s">
        <v>217</v>
      </c>
      <c r="B85" s="62" t="s">
        <v>200</v>
      </c>
      <c r="C85" s="66"/>
      <c r="D85" s="64">
        <v>160</v>
      </c>
    </row>
    <row r="86" spans="1:4" ht="15" x14ac:dyDescent="0.2">
      <c r="A86" s="65" t="s">
        <v>218</v>
      </c>
      <c r="B86" s="62" t="s">
        <v>200</v>
      </c>
      <c r="C86" s="66"/>
      <c r="D86" s="64">
        <v>160</v>
      </c>
    </row>
    <row r="87" spans="1:4" ht="15" x14ac:dyDescent="0.2">
      <c r="A87" s="65" t="s">
        <v>219</v>
      </c>
      <c r="B87" s="62" t="s">
        <v>200</v>
      </c>
      <c r="C87" s="66"/>
      <c r="D87" s="64">
        <v>160</v>
      </c>
    </row>
    <row r="88" spans="1:4" ht="15" x14ac:dyDescent="0.2">
      <c r="A88" s="65" t="s">
        <v>220</v>
      </c>
      <c r="B88" s="62" t="s">
        <v>200</v>
      </c>
      <c r="C88" s="66"/>
      <c r="D88" s="64">
        <v>160</v>
      </c>
    </row>
    <row r="89" spans="1:4" ht="15" x14ac:dyDescent="0.2">
      <c r="A89" s="65" t="s">
        <v>221</v>
      </c>
      <c r="B89" s="62" t="s">
        <v>200</v>
      </c>
      <c r="C89" s="66"/>
      <c r="D89" s="64">
        <v>160</v>
      </c>
    </row>
    <row r="90" spans="1:4" ht="15" x14ac:dyDescent="0.2">
      <c r="A90" s="65" t="s">
        <v>222</v>
      </c>
      <c r="B90" s="62" t="s">
        <v>200</v>
      </c>
      <c r="C90" s="66"/>
      <c r="D90" s="64">
        <v>160</v>
      </c>
    </row>
    <row r="91" spans="1:4" ht="15" x14ac:dyDescent="0.2">
      <c r="A91" s="65" t="s">
        <v>223</v>
      </c>
      <c r="B91" s="62" t="s">
        <v>200</v>
      </c>
      <c r="C91" s="66">
        <v>22</v>
      </c>
      <c r="D91" s="64">
        <v>160</v>
      </c>
    </row>
    <row r="92" spans="1:4" ht="15" x14ac:dyDescent="0.2">
      <c r="A92" s="65" t="s">
        <v>224</v>
      </c>
      <c r="B92" s="62" t="s">
        <v>200</v>
      </c>
      <c r="C92" s="66"/>
      <c r="D92" s="64">
        <v>160</v>
      </c>
    </row>
    <row r="93" spans="1:4" ht="15" x14ac:dyDescent="0.2">
      <c r="A93" s="65" t="s">
        <v>225</v>
      </c>
      <c r="B93" s="62" t="s">
        <v>200</v>
      </c>
      <c r="C93" s="66"/>
      <c r="D93" s="64">
        <v>160</v>
      </c>
    </row>
    <row r="94" spans="1:4" ht="15" x14ac:dyDescent="0.2">
      <c r="A94" s="65" t="s">
        <v>226</v>
      </c>
      <c r="B94" s="62" t="s">
        <v>200</v>
      </c>
      <c r="C94" s="66"/>
      <c r="D94" s="64">
        <v>160</v>
      </c>
    </row>
    <row r="95" spans="1:4" ht="15" x14ac:dyDescent="0.2">
      <c r="A95" s="65" t="s">
        <v>227</v>
      </c>
      <c r="B95" s="62" t="s">
        <v>200</v>
      </c>
      <c r="C95" s="66"/>
      <c r="D95" s="64">
        <v>160</v>
      </c>
    </row>
    <row r="96" spans="1:4" ht="15" x14ac:dyDescent="0.2">
      <c r="A96" s="65" t="s">
        <v>228</v>
      </c>
      <c r="B96" s="62" t="s">
        <v>200</v>
      </c>
      <c r="C96" s="66"/>
      <c r="D96" s="64">
        <v>160</v>
      </c>
    </row>
    <row r="97" spans="1:4" ht="15" x14ac:dyDescent="0.2">
      <c r="A97" s="65" t="s">
        <v>229</v>
      </c>
      <c r="B97" s="62" t="s">
        <v>200</v>
      </c>
      <c r="C97" s="66"/>
      <c r="D97" s="64">
        <v>160</v>
      </c>
    </row>
    <row r="98" spans="1:4" ht="15" x14ac:dyDescent="0.2">
      <c r="A98" s="65"/>
      <c r="B98" s="62" t="s">
        <v>200</v>
      </c>
      <c r="C98" s="66"/>
      <c r="D98" s="64">
        <v>160</v>
      </c>
    </row>
    <row r="99" spans="1:4" ht="15.75" thickBot="1" x14ac:dyDescent="0.25">
      <c r="A99" s="67"/>
      <c r="B99" s="62" t="s">
        <v>200</v>
      </c>
      <c r="C99" s="68"/>
      <c r="D99" s="64">
        <v>160</v>
      </c>
    </row>
    <row r="100" spans="1:4" ht="16.5" thickBot="1" x14ac:dyDescent="0.3">
      <c r="A100" s="275" t="s">
        <v>63</v>
      </c>
      <c r="B100" s="276"/>
      <c r="C100" s="277"/>
      <c r="D100" s="69">
        <f>SUM(C69:C99)</f>
        <v>43</v>
      </c>
    </row>
    <row r="107" spans="1:4" ht="13.5" thickBot="1" x14ac:dyDescent="0.25">
      <c r="A107" s="180"/>
      <c r="B107" s="180"/>
      <c r="C107" s="180"/>
    </row>
    <row r="108" spans="1:4" ht="15.75" thickTop="1" x14ac:dyDescent="0.2">
      <c r="A108" s="278" t="s">
        <v>241</v>
      </c>
      <c r="B108" s="278"/>
      <c r="C108" s="278"/>
    </row>
    <row r="109" spans="1:4" ht="15" x14ac:dyDescent="0.2">
      <c r="A109" s="279" t="s">
        <v>242</v>
      </c>
      <c r="B109" s="279"/>
      <c r="C109" s="279"/>
    </row>
  </sheetData>
  <mergeCells count="6">
    <mergeCell ref="A1:D1"/>
    <mergeCell ref="A34:C34"/>
    <mergeCell ref="A100:C100"/>
    <mergeCell ref="A108:C108"/>
    <mergeCell ref="A109:C109"/>
    <mergeCell ref="A67:C67"/>
  </mergeCells>
  <phoneticPr fontId="0" type="noConversion"/>
  <pageMargins left="1.1811023622047245" right="0.78740157480314965" top="1.7716535433070868" bottom="0.78740157480314965" header="0.51181102362204722" footer="0.51181102362204722"/>
  <pageSetup paperSize="9" scale="74" fitToHeight="2" orientation="portrait" r:id="rId1"/>
  <headerFooter alignWithMargins="0">
    <oddFooter>Página &amp;P de &amp;N</oddFooter>
  </headerFooter>
  <rowBreaks count="1" manualBreakCount="1">
    <brk id="60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5"/>
  <sheetViews>
    <sheetView view="pageBreakPreview" topLeftCell="A22" zoomScale="60" workbookViewId="0">
      <selection activeCell="A69" sqref="A69:IV69"/>
    </sheetView>
  </sheetViews>
  <sheetFormatPr defaultRowHeight="12.75" x14ac:dyDescent="0.2"/>
  <cols>
    <col min="1" max="1" width="32.5703125" customWidth="1"/>
    <col min="2" max="2" width="14" bestFit="1" customWidth="1"/>
    <col min="3" max="3" width="19.85546875" customWidth="1"/>
    <col min="4" max="4" width="23.28515625" bestFit="1" customWidth="1"/>
  </cols>
  <sheetData>
    <row r="1" spans="1:4" ht="15.75" x14ac:dyDescent="0.25">
      <c r="A1" s="271" t="s">
        <v>239</v>
      </c>
      <c r="B1" s="272"/>
      <c r="C1" s="273"/>
      <c r="D1" s="274"/>
    </row>
    <row r="2" spans="1:4" ht="16.5" thickBot="1" x14ac:dyDescent="0.3">
      <c r="A2" s="57" t="s">
        <v>60</v>
      </c>
      <c r="B2" s="58" t="s">
        <v>3</v>
      </c>
      <c r="C2" s="59" t="s">
        <v>61</v>
      </c>
      <c r="D2" s="60" t="s">
        <v>64</v>
      </c>
    </row>
    <row r="3" spans="1:4" ht="15" x14ac:dyDescent="0.2">
      <c r="A3" s="194" t="s">
        <v>201</v>
      </c>
      <c r="B3" s="195" t="s">
        <v>41</v>
      </c>
      <c r="C3" s="196">
        <f>142.02+3.8</f>
        <v>145.82000000000002</v>
      </c>
      <c r="D3" s="197">
        <v>63</v>
      </c>
    </row>
    <row r="4" spans="1:4" ht="15" x14ac:dyDescent="0.2">
      <c r="A4" s="65" t="s">
        <v>202</v>
      </c>
      <c r="B4" s="62" t="s">
        <v>41</v>
      </c>
      <c r="C4" s="66">
        <v>328.15</v>
      </c>
      <c r="D4" s="64">
        <v>63</v>
      </c>
    </row>
    <row r="5" spans="1:4" ht="15" x14ac:dyDescent="0.2">
      <c r="A5" s="65" t="s">
        <v>203</v>
      </c>
      <c r="B5" s="62" t="s">
        <v>41</v>
      </c>
      <c r="C5" s="66">
        <v>450.51</v>
      </c>
      <c r="D5" s="64">
        <v>63</v>
      </c>
    </row>
    <row r="6" spans="1:4" ht="15" x14ac:dyDescent="0.2">
      <c r="A6" s="65" t="s">
        <v>204</v>
      </c>
      <c r="B6" s="62" t="s">
        <v>41</v>
      </c>
      <c r="C6" s="66">
        <f>476.88</f>
        <v>476.88</v>
      </c>
      <c r="D6" s="64">
        <v>63</v>
      </c>
    </row>
    <row r="7" spans="1:4" ht="15" x14ac:dyDescent="0.2">
      <c r="A7" s="65" t="s">
        <v>205</v>
      </c>
      <c r="B7" s="62" t="s">
        <v>41</v>
      </c>
      <c r="C7" s="66">
        <f>511.8</f>
        <v>511.8</v>
      </c>
      <c r="D7" s="64">
        <v>63</v>
      </c>
    </row>
    <row r="8" spans="1:4" ht="15" x14ac:dyDescent="0.2">
      <c r="A8" s="65" t="s">
        <v>206</v>
      </c>
      <c r="B8" s="62" t="s">
        <v>41</v>
      </c>
      <c r="C8" s="66">
        <v>519.07000000000005</v>
      </c>
      <c r="D8" s="64">
        <v>63</v>
      </c>
    </row>
    <row r="9" spans="1:4" ht="15" x14ac:dyDescent="0.2">
      <c r="A9" s="65" t="s">
        <v>207</v>
      </c>
      <c r="B9" s="62" t="s">
        <v>41</v>
      </c>
      <c r="C9" s="66">
        <v>183.33</v>
      </c>
      <c r="D9" s="64">
        <v>63</v>
      </c>
    </row>
    <row r="10" spans="1:4" ht="15" x14ac:dyDescent="0.2">
      <c r="A10" s="65" t="s">
        <v>208</v>
      </c>
      <c r="B10" s="62" t="s">
        <v>41</v>
      </c>
      <c r="C10" s="66">
        <v>167.08</v>
      </c>
      <c r="D10" s="64">
        <v>63</v>
      </c>
    </row>
    <row r="11" spans="1:4" ht="15" x14ac:dyDescent="0.2">
      <c r="A11" s="65" t="s">
        <v>209</v>
      </c>
      <c r="B11" s="62" t="s">
        <v>41</v>
      </c>
      <c r="C11" s="66">
        <v>161.16999999999999</v>
      </c>
      <c r="D11" s="64">
        <v>63</v>
      </c>
    </row>
    <row r="12" spans="1:4" ht="15" x14ac:dyDescent="0.2">
      <c r="A12" s="65" t="s">
        <v>210</v>
      </c>
      <c r="B12" s="62" t="s">
        <v>41</v>
      </c>
      <c r="C12" s="66">
        <f>156.48+166.61</f>
        <v>323.09000000000003</v>
      </c>
      <c r="D12" s="64">
        <v>63</v>
      </c>
    </row>
    <row r="13" spans="1:4" ht="15" x14ac:dyDescent="0.2">
      <c r="A13" s="65" t="s">
        <v>211</v>
      </c>
      <c r="B13" s="62" t="s">
        <v>41</v>
      </c>
      <c r="C13" s="66">
        <v>478.68</v>
      </c>
      <c r="D13" s="64">
        <v>63</v>
      </c>
    </row>
    <row r="14" spans="1:4" ht="15" x14ac:dyDescent="0.2">
      <c r="A14" s="65" t="s">
        <v>212</v>
      </c>
      <c r="B14" s="62" t="s">
        <v>41</v>
      </c>
      <c r="C14" s="66">
        <v>471.26</v>
      </c>
      <c r="D14" s="64">
        <v>63</v>
      </c>
    </row>
    <row r="15" spans="1:4" ht="15" x14ac:dyDescent="0.2">
      <c r="A15" s="65" t="s">
        <v>213</v>
      </c>
      <c r="B15" s="62" t="s">
        <v>41</v>
      </c>
      <c r="C15" s="66">
        <v>463.05</v>
      </c>
      <c r="D15" s="64">
        <v>63</v>
      </c>
    </row>
    <row r="16" spans="1:4" ht="15" x14ac:dyDescent="0.2">
      <c r="A16" s="65" t="s">
        <v>214</v>
      </c>
      <c r="B16" s="62" t="s">
        <v>41</v>
      </c>
      <c r="C16" s="66">
        <f>115.71</f>
        <v>115.71</v>
      </c>
      <c r="D16" s="64">
        <v>63</v>
      </c>
    </row>
    <row r="17" spans="1:4" ht="15" x14ac:dyDescent="0.2">
      <c r="A17" s="65" t="s">
        <v>215</v>
      </c>
      <c r="B17" s="62" t="s">
        <v>41</v>
      </c>
      <c r="C17" s="66">
        <v>166.52</v>
      </c>
      <c r="D17" s="64">
        <v>63</v>
      </c>
    </row>
    <row r="18" spans="1:4" ht="15" x14ac:dyDescent="0.2">
      <c r="A18" s="65" t="s">
        <v>216</v>
      </c>
      <c r="B18" s="62" t="s">
        <v>41</v>
      </c>
      <c r="C18" s="66">
        <v>443.88</v>
      </c>
      <c r="D18" s="64">
        <v>63</v>
      </c>
    </row>
    <row r="19" spans="1:4" ht="15" x14ac:dyDescent="0.2">
      <c r="A19" s="65" t="s">
        <v>217</v>
      </c>
      <c r="B19" s="62" t="s">
        <v>41</v>
      </c>
      <c r="C19" s="66">
        <v>432.02</v>
      </c>
      <c r="D19" s="64">
        <v>63</v>
      </c>
    </row>
    <row r="20" spans="1:4" ht="15" x14ac:dyDescent="0.2">
      <c r="A20" s="65" t="s">
        <v>218</v>
      </c>
      <c r="B20" s="62" t="s">
        <v>41</v>
      </c>
      <c r="C20" s="66">
        <v>424.7</v>
      </c>
      <c r="D20" s="64">
        <v>63</v>
      </c>
    </row>
    <row r="21" spans="1:4" ht="15" x14ac:dyDescent="0.2">
      <c r="A21" s="65" t="s">
        <v>219</v>
      </c>
      <c r="B21" s="62" t="s">
        <v>41</v>
      </c>
      <c r="C21" s="66">
        <v>420.34</v>
      </c>
      <c r="D21" s="64">
        <v>63</v>
      </c>
    </row>
    <row r="22" spans="1:4" ht="15" x14ac:dyDescent="0.2">
      <c r="A22" s="65" t="s">
        <v>220</v>
      </c>
      <c r="B22" s="62" t="s">
        <v>41</v>
      </c>
      <c r="C22" s="66">
        <v>394.05</v>
      </c>
      <c r="D22" s="64">
        <v>63</v>
      </c>
    </row>
    <row r="23" spans="1:4" ht="15" x14ac:dyDescent="0.2">
      <c r="A23" s="65" t="s">
        <v>221</v>
      </c>
      <c r="B23" s="62" t="s">
        <v>41</v>
      </c>
      <c r="C23" s="66">
        <v>171.09</v>
      </c>
      <c r="D23" s="64">
        <v>63</v>
      </c>
    </row>
    <row r="24" spans="1:4" ht="15" x14ac:dyDescent="0.2">
      <c r="A24" s="65" t="s">
        <v>222</v>
      </c>
      <c r="B24" s="62" t="s">
        <v>41</v>
      </c>
      <c r="C24" s="66">
        <f>62.18+62.32+51.28+50.17+49.83+50.25+7.27</f>
        <v>333.29999999999995</v>
      </c>
      <c r="D24" s="64">
        <v>63</v>
      </c>
    </row>
    <row r="25" spans="1:4" ht="15" x14ac:dyDescent="0.2">
      <c r="A25" s="65" t="s">
        <v>223</v>
      </c>
      <c r="B25" s="62" t="s">
        <v>41</v>
      </c>
      <c r="C25" s="66">
        <v>187.34</v>
      </c>
      <c r="D25" s="64">
        <v>63</v>
      </c>
    </row>
    <row r="26" spans="1:4" ht="15" x14ac:dyDescent="0.2">
      <c r="A26" s="65" t="s">
        <v>224</v>
      </c>
      <c r="B26" s="62" t="s">
        <v>41</v>
      </c>
      <c r="C26" s="66">
        <v>166.34</v>
      </c>
      <c r="D26" s="64">
        <v>63</v>
      </c>
    </row>
    <row r="27" spans="1:4" ht="15" x14ac:dyDescent="0.2">
      <c r="A27" s="65" t="s">
        <v>225</v>
      </c>
      <c r="B27" s="193" t="s">
        <v>41</v>
      </c>
      <c r="C27" s="66">
        <v>166.38</v>
      </c>
      <c r="D27" s="64">
        <v>63</v>
      </c>
    </row>
    <row r="28" spans="1:4" ht="15" x14ac:dyDescent="0.2">
      <c r="A28" s="65" t="s">
        <v>226</v>
      </c>
      <c r="B28" s="193" t="s">
        <v>41</v>
      </c>
      <c r="C28" s="66">
        <v>90.58</v>
      </c>
      <c r="D28" s="64">
        <v>63</v>
      </c>
    </row>
    <row r="29" spans="1:4" ht="15" x14ac:dyDescent="0.2">
      <c r="A29" s="65" t="s">
        <v>227</v>
      </c>
      <c r="B29" s="193" t="s">
        <v>41</v>
      </c>
      <c r="C29" s="66">
        <v>97.12</v>
      </c>
      <c r="D29" s="64">
        <v>63</v>
      </c>
    </row>
    <row r="30" spans="1:4" ht="15" x14ac:dyDescent="0.2">
      <c r="A30" s="65" t="s">
        <v>228</v>
      </c>
      <c r="B30" s="193" t="s">
        <v>41</v>
      </c>
      <c r="C30" s="66">
        <v>206.74</v>
      </c>
      <c r="D30" s="64">
        <v>63</v>
      </c>
    </row>
    <row r="31" spans="1:4" ht="15" x14ac:dyDescent="0.2">
      <c r="A31" s="65"/>
      <c r="B31" s="193" t="s">
        <v>41</v>
      </c>
      <c r="C31" s="66">
        <v>0</v>
      </c>
      <c r="D31" s="64">
        <v>63</v>
      </c>
    </row>
    <row r="32" spans="1:4" ht="15.75" thickBot="1" x14ac:dyDescent="0.25">
      <c r="A32" s="191"/>
      <c r="B32" s="198" t="s">
        <v>41</v>
      </c>
      <c r="C32" s="192">
        <v>0</v>
      </c>
      <c r="D32" s="199">
        <v>63</v>
      </c>
    </row>
    <row r="33" spans="1:4" ht="16.5" thickBot="1" x14ac:dyDescent="0.3">
      <c r="A33" s="275" t="s">
        <v>63</v>
      </c>
      <c r="B33" s="276"/>
      <c r="C33" s="277"/>
      <c r="D33" s="69">
        <f>SUM(C3:C32)</f>
        <v>8496.0000000000018</v>
      </c>
    </row>
    <row r="34" spans="1:4" ht="16.5" thickBot="1" x14ac:dyDescent="0.3">
      <c r="A34" s="57" t="s">
        <v>60</v>
      </c>
      <c r="B34" s="58" t="s">
        <v>3</v>
      </c>
      <c r="C34" s="59" t="s">
        <v>61</v>
      </c>
      <c r="D34" s="60" t="s">
        <v>64</v>
      </c>
    </row>
    <row r="35" spans="1:4" ht="15" x14ac:dyDescent="0.2">
      <c r="A35" s="61" t="s">
        <v>201</v>
      </c>
      <c r="B35" s="62" t="s">
        <v>41</v>
      </c>
      <c r="C35" s="63">
        <v>169.05</v>
      </c>
      <c r="D35" s="64">
        <v>110</v>
      </c>
    </row>
    <row r="36" spans="1:4" ht="15" x14ac:dyDescent="0.2">
      <c r="A36" s="65" t="s">
        <v>223</v>
      </c>
      <c r="B36" s="62" t="s">
        <v>41</v>
      </c>
      <c r="C36" s="66">
        <v>358.02</v>
      </c>
      <c r="D36" s="64">
        <v>110</v>
      </c>
    </row>
    <row r="37" spans="1:4" ht="15" x14ac:dyDescent="0.2">
      <c r="A37" s="65" t="s">
        <v>228</v>
      </c>
      <c r="B37" s="62" t="s">
        <v>41</v>
      </c>
      <c r="C37" s="66">
        <v>798.74</v>
      </c>
      <c r="D37" s="64">
        <v>110</v>
      </c>
    </row>
    <row r="38" spans="1:4" ht="15" x14ac:dyDescent="0.2">
      <c r="A38" s="65"/>
      <c r="B38" s="62" t="s">
        <v>41</v>
      </c>
      <c r="C38" s="66"/>
      <c r="D38" s="64">
        <v>110</v>
      </c>
    </row>
    <row r="39" spans="1:4" ht="15.75" thickBot="1" x14ac:dyDescent="0.25">
      <c r="A39" s="67"/>
      <c r="B39" s="62" t="s">
        <v>41</v>
      </c>
      <c r="C39" s="68"/>
      <c r="D39" s="64">
        <v>110</v>
      </c>
    </row>
    <row r="40" spans="1:4" ht="16.5" thickBot="1" x14ac:dyDescent="0.3">
      <c r="A40" s="275" t="s">
        <v>63</v>
      </c>
      <c r="B40" s="276"/>
      <c r="C40" s="277"/>
      <c r="D40" s="69">
        <f>SUM(C35:C39)</f>
        <v>1325.81</v>
      </c>
    </row>
    <row r="41" spans="1:4" ht="16.5" thickBot="1" x14ac:dyDescent="0.3">
      <c r="A41" s="57" t="s">
        <v>60</v>
      </c>
      <c r="B41" s="58" t="s">
        <v>3</v>
      </c>
      <c r="C41" s="59" t="s">
        <v>61</v>
      </c>
      <c r="D41" s="60" t="s">
        <v>64</v>
      </c>
    </row>
    <row r="42" spans="1:4" ht="15" x14ac:dyDescent="0.2">
      <c r="A42" s="61" t="s">
        <v>201</v>
      </c>
      <c r="B42" s="62" t="s">
        <v>41</v>
      </c>
      <c r="C42" s="63">
        <v>4.5599999999999996</v>
      </c>
      <c r="D42" s="64">
        <v>160</v>
      </c>
    </row>
    <row r="43" spans="1:4" ht="15" x14ac:dyDescent="0.2">
      <c r="A43" s="65" t="s">
        <v>210</v>
      </c>
      <c r="B43" s="62" t="s">
        <v>41</v>
      </c>
      <c r="C43" s="66">
        <f>169.18</f>
        <v>169.18</v>
      </c>
      <c r="D43" s="64">
        <v>160</v>
      </c>
    </row>
    <row r="44" spans="1:4" ht="15" x14ac:dyDescent="0.2">
      <c r="A44" s="65" t="s">
        <v>223</v>
      </c>
      <c r="B44" s="62" t="s">
        <v>41</v>
      </c>
      <c r="C44" s="66">
        <f>440.68+26.36+8+16.52</f>
        <v>491.56</v>
      </c>
      <c r="D44" s="64">
        <v>160</v>
      </c>
    </row>
    <row r="45" spans="1:4" ht="15" x14ac:dyDescent="0.2">
      <c r="A45" s="65"/>
      <c r="B45" s="62" t="s">
        <v>41</v>
      </c>
      <c r="C45" s="66"/>
      <c r="D45" s="64">
        <v>160</v>
      </c>
    </row>
    <row r="46" spans="1:4" ht="15.75" thickBot="1" x14ac:dyDescent="0.25">
      <c r="A46" s="67"/>
      <c r="B46" s="62" t="s">
        <v>41</v>
      </c>
      <c r="C46" s="68"/>
      <c r="D46" s="64">
        <v>160</v>
      </c>
    </row>
    <row r="47" spans="1:4" ht="16.5" thickBot="1" x14ac:dyDescent="0.3">
      <c r="A47" s="275" t="s">
        <v>63</v>
      </c>
      <c r="B47" s="276"/>
      <c r="C47" s="277"/>
      <c r="D47" s="69">
        <f>SUM(C42:C46)</f>
        <v>665.3</v>
      </c>
    </row>
    <row r="48" spans="1:4" ht="33" customHeight="1" x14ac:dyDescent="0.25">
      <c r="A48" s="280" t="s">
        <v>240</v>
      </c>
      <c r="B48" s="281"/>
      <c r="C48" s="282"/>
      <c r="D48" s="283"/>
    </row>
    <row r="49" spans="1:4" ht="16.5" thickBot="1" x14ac:dyDescent="0.3">
      <c r="A49" s="57" t="s">
        <v>60</v>
      </c>
      <c r="B49" s="58" t="s">
        <v>3</v>
      </c>
      <c r="C49" s="59" t="s">
        <v>61</v>
      </c>
      <c r="D49" s="60" t="s">
        <v>64</v>
      </c>
    </row>
    <row r="50" spans="1:4" ht="15" x14ac:dyDescent="0.2">
      <c r="A50" s="65" t="s">
        <v>204</v>
      </c>
      <c r="B50" s="62" t="s">
        <v>41</v>
      </c>
      <c r="C50" s="66">
        <v>6.54</v>
      </c>
      <c r="D50" s="64">
        <v>63</v>
      </c>
    </row>
    <row r="51" spans="1:4" ht="15" x14ac:dyDescent="0.2">
      <c r="A51" s="65" t="s">
        <v>205</v>
      </c>
      <c r="B51" s="62" t="s">
        <v>41</v>
      </c>
      <c r="C51" s="66">
        <f>4.13+2.99</f>
        <v>7.12</v>
      </c>
      <c r="D51" s="64">
        <v>63</v>
      </c>
    </row>
    <row r="52" spans="1:4" ht="15" x14ac:dyDescent="0.2">
      <c r="A52" s="65" t="s">
        <v>206</v>
      </c>
      <c r="B52" s="62" t="s">
        <v>41</v>
      </c>
      <c r="C52" s="66">
        <v>10.5</v>
      </c>
      <c r="D52" s="64">
        <v>63</v>
      </c>
    </row>
    <row r="53" spans="1:4" ht="15" x14ac:dyDescent="0.2">
      <c r="A53" s="65" t="s">
        <v>209</v>
      </c>
      <c r="B53" s="62" t="s">
        <v>41</v>
      </c>
      <c r="C53" s="66">
        <v>11.64</v>
      </c>
      <c r="D53" s="64">
        <v>63</v>
      </c>
    </row>
    <row r="54" spans="1:4" ht="15" x14ac:dyDescent="0.2">
      <c r="A54" s="65" t="s">
        <v>210</v>
      </c>
      <c r="B54" s="62" t="s">
        <v>41</v>
      </c>
      <c r="C54" s="66">
        <v>7.6</v>
      </c>
      <c r="D54" s="64">
        <v>63</v>
      </c>
    </row>
    <row r="55" spans="1:4" ht="15" x14ac:dyDescent="0.2">
      <c r="A55" s="65" t="s">
        <v>211</v>
      </c>
      <c r="B55" s="62" t="s">
        <v>41</v>
      </c>
      <c r="C55" s="66">
        <v>12.17</v>
      </c>
      <c r="D55" s="64">
        <v>63</v>
      </c>
    </row>
    <row r="56" spans="1:4" ht="15" x14ac:dyDescent="0.2">
      <c r="A56" s="65" t="s">
        <v>212</v>
      </c>
      <c r="B56" s="62" t="s">
        <v>41</v>
      </c>
      <c r="C56" s="66">
        <v>10.51</v>
      </c>
      <c r="D56" s="64">
        <v>63</v>
      </c>
    </row>
    <row r="57" spans="1:4" ht="15" x14ac:dyDescent="0.2">
      <c r="A57" s="65" t="s">
        <v>213</v>
      </c>
      <c r="B57" s="62" t="s">
        <v>41</v>
      </c>
      <c r="C57" s="66">
        <v>9.3000000000000007</v>
      </c>
      <c r="D57" s="64">
        <v>63</v>
      </c>
    </row>
    <row r="58" spans="1:4" ht="15" x14ac:dyDescent="0.2">
      <c r="A58" s="65" t="s">
        <v>214</v>
      </c>
      <c r="B58" s="62" t="s">
        <v>41</v>
      </c>
      <c r="C58" s="66">
        <f>6.73+5.12</f>
        <v>11.850000000000001</v>
      </c>
      <c r="D58" s="64">
        <v>63</v>
      </c>
    </row>
    <row r="59" spans="1:4" ht="15" x14ac:dyDescent="0.2">
      <c r="A59" s="65" t="s">
        <v>216</v>
      </c>
      <c r="B59" s="62" t="s">
        <v>41</v>
      </c>
      <c r="C59" s="66">
        <v>10.64</v>
      </c>
      <c r="D59" s="64">
        <v>63</v>
      </c>
    </row>
    <row r="60" spans="1:4" ht="15" x14ac:dyDescent="0.2">
      <c r="A60" s="65" t="s">
        <v>217</v>
      </c>
      <c r="B60" s="62" t="s">
        <v>41</v>
      </c>
      <c r="C60" s="66">
        <v>13.14</v>
      </c>
      <c r="D60" s="64">
        <v>63</v>
      </c>
    </row>
    <row r="61" spans="1:4" ht="15" x14ac:dyDescent="0.2">
      <c r="A61" s="65" t="s">
        <v>218</v>
      </c>
      <c r="B61" s="62" t="s">
        <v>41</v>
      </c>
      <c r="C61" s="66">
        <v>11.62</v>
      </c>
      <c r="D61" s="64">
        <v>63</v>
      </c>
    </row>
    <row r="62" spans="1:4" ht="15" x14ac:dyDescent="0.2">
      <c r="A62" s="65" t="s">
        <v>220</v>
      </c>
      <c r="B62" s="62" t="s">
        <v>41</v>
      </c>
      <c r="C62" s="66">
        <v>9.66</v>
      </c>
      <c r="D62" s="64">
        <v>63</v>
      </c>
    </row>
    <row r="63" spans="1:4" ht="15" x14ac:dyDescent="0.2">
      <c r="A63" s="65" t="s">
        <v>221</v>
      </c>
      <c r="B63" s="62" t="s">
        <v>41</v>
      </c>
      <c r="C63" s="66">
        <f>32.6+159.83</f>
        <v>192.43</v>
      </c>
      <c r="D63" s="64">
        <v>63</v>
      </c>
    </row>
    <row r="64" spans="1:4" ht="15" x14ac:dyDescent="0.2">
      <c r="A64" s="65" t="s">
        <v>203</v>
      </c>
      <c r="B64" s="62" t="s">
        <v>41</v>
      </c>
      <c r="C64" s="66">
        <v>148.32</v>
      </c>
      <c r="D64" s="64">
        <v>63</v>
      </c>
    </row>
    <row r="65" spans="1:4" ht="15" x14ac:dyDescent="0.2">
      <c r="A65" s="65" t="s">
        <v>229</v>
      </c>
      <c r="B65" s="62" t="s">
        <v>41</v>
      </c>
      <c r="C65" s="66">
        <f>195.96+363.67+11.86+43.73+165.86</f>
        <v>781.08</v>
      </c>
      <c r="D65" s="64">
        <v>63</v>
      </c>
    </row>
    <row r="66" spans="1:4" ht="15" x14ac:dyDescent="0.2">
      <c r="A66" s="65" t="s">
        <v>222</v>
      </c>
      <c r="B66" s="62" t="s">
        <v>41</v>
      </c>
      <c r="C66" s="66">
        <f>108.69+50.05+51.29+52.6+50.09+51+53.06+49.9+52.82+50.59+19.62+47.76</f>
        <v>637.47</v>
      </c>
      <c r="D66" s="64">
        <v>63</v>
      </c>
    </row>
    <row r="67" spans="1:4" ht="15.75" thickBot="1" x14ac:dyDescent="0.25">
      <c r="A67" s="67"/>
      <c r="B67" s="62" t="s">
        <v>41</v>
      </c>
      <c r="C67" s="68"/>
      <c r="D67" s="64">
        <v>63</v>
      </c>
    </row>
    <row r="68" spans="1:4" ht="16.5" thickBot="1" x14ac:dyDescent="0.3">
      <c r="A68" s="275" t="s">
        <v>63</v>
      </c>
      <c r="B68" s="276"/>
      <c r="C68" s="277"/>
      <c r="D68" s="69">
        <f>SUM(C50:C67)</f>
        <v>1891.5900000000001</v>
      </c>
    </row>
    <row r="69" spans="1:4" ht="15.75" x14ac:dyDescent="0.25">
      <c r="A69" s="207"/>
      <c r="B69" s="207"/>
      <c r="C69" s="207"/>
      <c r="D69" s="208"/>
    </row>
    <row r="70" spans="1:4" ht="15.75" x14ac:dyDescent="0.25">
      <c r="A70" s="207"/>
      <c r="B70" s="207"/>
      <c r="C70" s="207"/>
      <c r="D70" s="208"/>
    </row>
    <row r="71" spans="1:4" ht="15.75" x14ac:dyDescent="0.25">
      <c r="A71" s="207"/>
      <c r="B71" s="207"/>
      <c r="C71" s="207"/>
      <c r="D71" s="208"/>
    </row>
    <row r="73" spans="1:4" ht="13.5" thickBot="1" x14ac:dyDescent="0.25">
      <c r="A73" s="180"/>
      <c r="B73" s="180"/>
      <c r="C73" s="180"/>
    </row>
    <row r="74" spans="1:4" ht="15.75" thickTop="1" x14ac:dyDescent="0.2">
      <c r="A74" s="181" t="s">
        <v>241</v>
      </c>
      <c r="B74" s="181"/>
      <c r="C74" s="181"/>
    </row>
    <row r="75" spans="1:4" ht="15" x14ac:dyDescent="0.2">
      <c r="A75" s="279" t="s">
        <v>242</v>
      </c>
      <c r="B75" s="279"/>
      <c r="C75" s="279"/>
    </row>
  </sheetData>
  <mergeCells count="7">
    <mergeCell ref="A1:D1"/>
    <mergeCell ref="A33:C33"/>
    <mergeCell ref="A68:C68"/>
    <mergeCell ref="A75:C75"/>
    <mergeCell ref="A40:C40"/>
    <mergeCell ref="A47:C47"/>
    <mergeCell ref="A48:D48"/>
  </mergeCells>
  <printOptions horizontalCentered="1"/>
  <pageMargins left="1.1811023622047245" right="0.78740157480314965" top="1.7716535433070868" bottom="0.78740157480314965" header="0.31496062992125984" footer="0.31496062992125984"/>
  <pageSetup paperSize="9" scale="91" fitToHeight="2" orientation="portrait" r:id="rId1"/>
  <headerFooter>
    <oddFooter>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B2:K573"/>
  <sheetViews>
    <sheetView showGridLines="0" view="pageBreakPreview" zoomScale="80" zoomScaleNormal="75" zoomScaleSheetLayoutView="80" workbookViewId="0">
      <selection activeCell="G7" sqref="G7"/>
    </sheetView>
  </sheetViews>
  <sheetFormatPr defaultRowHeight="12.75" x14ac:dyDescent="0.2"/>
  <cols>
    <col min="1" max="1" width="5.28515625" style="72" customWidth="1"/>
    <col min="2" max="2" width="14.85546875" style="72" customWidth="1"/>
    <col min="3" max="3" width="45.28515625" style="72" customWidth="1"/>
    <col min="4" max="4" width="26.5703125" style="72" customWidth="1"/>
    <col min="5" max="5" width="6.5703125" style="72" customWidth="1"/>
    <col min="6" max="6" width="6.85546875" style="72" customWidth="1"/>
    <col min="7" max="7" width="15.42578125" style="72" customWidth="1"/>
    <col min="8" max="8" width="9.28515625" style="72" customWidth="1"/>
    <col min="9" max="9" width="8.28515625" style="73" customWidth="1"/>
    <col min="10" max="10" width="9.140625" style="72"/>
    <col min="11" max="11" width="9.28515625" style="72" bestFit="1" customWidth="1"/>
    <col min="12" max="16384" width="9.140625" style="72"/>
  </cols>
  <sheetData>
    <row r="2" spans="3:11" ht="30.75" customHeight="1" thickBot="1" x14ac:dyDescent="0.25">
      <c r="C2" s="85"/>
      <c r="D2" s="85"/>
      <c r="E2" s="85"/>
      <c r="F2" s="85"/>
      <c r="G2" s="85"/>
    </row>
    <row r="3" spans="3:11" ht="42" customHeight="1" thickBot="1" x14ac:dyDescent="0.25">
      <c r="C3" s="287" t="s">
        <v>410</v>
      </c>
      <c r="D3" s="288"/>
      <c r="E3" s="288"/>
      <c r="F3" s="289"/>
      <c r="G3" s="85"/>
    </row>
    <row r="4" spans="3:11" x14ac:dyDescent="0.2">
      <c r="C4" s="85"/>
      <c r="D4" s="85"/>
      <c r="E4" s="85"/>
      <c r="F4" s="85"/>
      <c r="G4" s="85"/>
    </row>
    <row r="5" spans="3:11" ht="13.5" thickBot="1" x14ac:dyDescent="0.25">
      <c r="C5" s="85"/>
      <c r="D5" s="85"/>
      <c r="E5" s="85"/>
      <c r="F5" s="85"/>
      <c r="G5" s="85"/>
    </row>
    <row r="6" spans="3:11" ht="18.75" thickBot="1" x14ac:dyDescent="0.3">
      <c r="C6" s="284" t="s">
        <v>105</v>
      </c>
      <c r="D6" s="285"/>
      <c r="E6" s="285"/>
      <c r="F6" s="286"/>
      <c r="G6" s="101"/>
      <c r="H6" s="118"/>
      <c r="I6" s="115"/>
    </row>
    <row r="7" spans="3:11" ht="21" customHeight="1" x14ac:dyDescent="0.25">
      <c r="C7" s="100"/>
      <c r="D7" s="99"/>
      <c r="E7" s="99"/>
      <c r="F7" s="99"/>
      <c r="G7" s="98"/>
      <c r="H7" s="118"/>
      <c r="I7" s="115"/>
    </row>
    <row r="8" spans="3:11" ht="21" customHeight="1" x14ac:dyDescent="0.25">
      <c r="C8" s="87" t="s">
        <v>101</v>
      </c>
      <c r="D8" s="105">
        <v>63</v>
      </c>
      <c r="E8" s="87" t="s">
        <v>100</v>
      </c>
      <c r="F8" s="87"/>
      <c r="G8" s="101"/>
      <c r="I8" s="72"/>
    </row>
    <row r="9" spans="3:11" ht="21" customHeight="1" x14ac:dyDescent="0.25">
      <c r="C9" s="87" t="s">
        <v>98</v>
      </c>
      <c r="D9" s="97">
        <v>1.2</v>
      </c>
      <c r="E9" s="87" t="s">
        <v>76</v>
      </c>
      <c r="F9" s="87"/>
      <c r="G9" s="96"/>
      <c r="I9" s="72"/>
    </row>
    <row r="10" spans="3:11" ht="21" customHeight="1" x14ac:dyDescent="0.25">
      <c r="C10" s="87" t="s">
        <v>97</v>
      </c>
      <c r="D10" s="95">
        <v>1.5</v>
      </c>
      <c r="E10" s="87" t="s">
        <v>41</v>
      </c>
      <c r="F10" s="87"/>
      <c r="G10" s="94"/>
      <c r="I10" s="72"/>
    </row>
    <row r="11" spans="3:11" ht="21" customHeight="1" x14ac:dyDescent="0.25">
      <c r="C11" s="87" t="s">
        <v>96</v>
      </c>
      <c r="D11" s="95">
        <v>1</v>
      </c>
      <c r="E11" s="87" t="s">
        <v>41</v>
      </c>
      <c r="F11" s="87"/>
      <c r="G11" s="94"/>
      <c r="I11" s="72"/>
      <c r="K11" s="117"/>
    </row>
    <row r="12" spans="3:11" ht="21" customHeight="1" x14ac:dyDescent="0.25">
      <c r="C12" s="87" t="s">
        <v>95</v>
      </c>
      <c r="D12" s="95">
        <v>46</v>
      </c>
      <c r="E12" s="90" t="s">
        <v>94</v>
      </c>
      <c r="F12" s="87"/>
      <c r="G12" s="94"/>
      <c r="I12" s="72"/>
      <c r="K12" s="117"/>
    </row>
    <row r="13" spans="3:11" ht="21" customHeight="1" x14ac:dyDescent="0.25">
      <c r="C13" s="87"/>
      <c r="D13" s="90"/>
      <c r="E13" s="90"/>
      <c r="F13" s="87"/>
      <c r="G13" s="94"/>
      <c r="I13" s="72"/>
      <c r="K13" s="117"/>
    </row>
    <row r="14" spans="3:11" ht="21" customHeight="1" x14ac:dyDescent="0.25">
      <c r="C14" s="87"/>
      <c r="D14" s="90"/>
      <c r="E14" s="90"/>
      <c r="F14" s="87"/>
      <c r="G14" s="94"/>
      <c r="I14" s="72"/>
      <c r="K14" s="117"/>
    </row>
    <row r="15" spans="3:11" ht="21" customHeight="1" x14ac:dyDescent="0.25">
      <c r="C15" s="87"/>
      <c r="D15" s="90"/>
      <c r="E15" s="90"/>
      <c r="F15" s="87"/>
      <c r="G15" s="94"/>
      <c r="I15" s="72"/>
      <c r="K15" s="117"/>
    </row>
    <row r="16" spans="3:11" ht="21" customHeight="1" x14ac:dyDescent="0.25">
      <c r="C16" s="87"/>
      <c r="D16" s="90"/>
      <c r="E16" s="90"/>
      <c r="F16" s="87"/>
      <c r="G16" s="94"/>
      <c r="I16" s="72"/>
      <c r="K16" s="117"/>
    </row>
    <row r="17" spans="3:11" ht="21" customHeight="1" x14ac:dyDescent="0.25">
      <c r="C17" s="87"/>
      <c r="D17" s="90"/>
      <c r="E17" s="90"/>
      <c r="F17" s="87"/>
      <c r="G17" s="94"/>
      <c r="I17" s="72"/>
      <c r="K17" s="117"/>
    </row>
    <row r="18" spans="3:11" ht="21" customHeight="1" x14ac:dyDescent="0.25">
      <c r="C18" s="87"/>
      <c r="D18" s="90"/>
      <c r="E18" s="90"/>
      <c r="F18" s="87"/>
      <c r="G18" s="94"/>
      <c r="I18" s="72"/>
      <c r="K18" s="117"/>
    </row>
    <row r="19" spans="3:11" ht="21" customHeight="1" x14ac:dyDescent="0.25">
      <c r="C19" s="87"/>
      <c r="D19" s="90"/>
      <c r="E19" s="90"/>
      <c r="F19" s="87"/>
      <c r="G19" s="94"/>
      <c r="I19" s="72"/>
      <c r="K19" s="117"/>
    </row>
    <row r="20" spans="3:11" ht="21" customHeight="1" x14ac:dyDescent="0.25">
      <c r="C20" s="87"/>
      <c r="D20" s="90"/>
      <c r="E20" s="90"/>
      <c r="F20" s="87"/>
      <c r="G20" s="94"/>
      <c r="I20" s="72"/>
      <c r="K20" s="117"/>
    </row>
    <row r="21" spans="3:11" ht="21" customHeight="1" x14ac:dyDescent="0.25">
      <c r="C21" s="87"/>
      <c r="D21" s="90"/>
      <c r="E21" s="90"/>
      <c r="F21" s="87"/>
      <c r="G21" s="94"/>
      <c r="I21" s="72"/>
      <c r="K21" s="117"/>
    </row>
    <row r="22" spans="3:11" ht="21" customHeight="1" x14ac:dyDescent="0.25">
      <c r="C22" s="87"/>
      <c r="D22" s="90"/>
      <c r="E22" s="90"/>
      <c r="F22" s="87"/>
      <c r="G22" s="94"/>
      <c r="I22" s="72"/>
      <c r="K22" s="117"/>
    </row>
    <row r="23" spans="3:11" ht="21" customHeight="1" x14ac:dyDescent="0.25">
      <c r="C23" s="85"/>
      <c r="D23" s="87"/>
      <c r="E23" s="87"/>
      <c r="F23" s="87"/>
      <c r="G23" s="94"/>
      <c r="I23" s="72"/>
    </row>
    <row r="24" spans="3:11" ht="21" customHeight="1" x14ac:dyDescent="0.25">
      <c r="C24" s="85"/>
      <c r="D24" s="87"/>
      <c r="E24" s="87"/>
      <c r="F24" s="87"/>
      <c r="G24" s="94"/>
      <c r="I24" s="72"/>
    </row>
    <row r="25" spans="3:11" ht="21" customHeight="1" x14ac:dyDescent="0.2">
      <c r="C25" s="93"/>
      <c r="D25" s="93"/>
      <c r="E25" s="93"/>
      <c r="F25" s="93"/>
      <c r="G25" s="92"/>
      <c r="I25" s="72"/>
    </row>
    <row r="26" spans="3:11" ht="21" hidden="1" customHeight="1" x14ac:dyDescent="0.25">
      <c r="C26" s="77" t="s">
        <v>92</v>
      </c>
      <c r="D26" s="78">
        <f>D10</f>
        <v>1.5</v>
      </c>
      <c r="E26" s="77" t="s">
        <v>41</v>
      </c>
      <c r="F26" s="87"/>
      <c r="G26" s="92"/>
      <c r="I26" s="72"/>
    </row>
    <row r="27" spans="3:11" ht="21" customHeight="1" x14ac:dyDescent="0.25">
      <c r="C27" s="77" t="s">
        <v>91</v>
      </c>
      <c r="D27" s="84">
        <f>D10*D11*D12</f>
        <v>69</v>
      </c>
      <c r="E27" s="81" t="s">
        <v>83</v>
      </c>
      <c r="F27" s="87"/>
      <c r="G27" s="92"/>
      <c r="I27" s="72"/>
    </row>
    <row r="28" spans="3:11" ht="21" customHeight="1" x14ac:dyDescent="0.25">
      <c r="C28" s="77" t="s">
        <v>88</v>
      </c>
      <c r="D28" s="84">
        <f>D11*D10*D9*D12</f>
        <v>82.8</v>
      </c>
      <c r="E28" s="79" t="s">
        <v>81</v>
      </c>
      <c r="F28" s="90"/>
      <c r="G28" s="92"/>
      <c r="I28" s="72"/>
    </row>
    <row r="29" spans="3:11" ht="21" customHeight="1" x14ac:dyDescent="0.25">
      <c r="C29" s="77" t="s">
        <v>87</v>
      </c>
      <c r="D29" s="78">
        <f>D11*D10*0.1*D12</f>
        <v>6.9000000000000012</v>
      </c>
      <c r="E29" s="79" t="s">
        <v>81</v>
      </c>
      <c r="F29" s="90"/>
      <c r="G29" s="89"/>
      <c r="H29" s="116"/>
      <c r="I29" s="115"/>
    </row>
    <row r="30" spans="3:11" ht="21" customHeight="1" x14ac:dyDescent="0.25">
      <c r="C30" s="77" t="s">
        <v>86</v>
      </c>
      <c r="D30" s="78">
        <f>D11*D10*0.1*D12</f>
        <v>6.9000000000000012</v>
      </c>
      <c r="E30" s="79" t="s">
        <v>81</v>
      </c>
      <c r="F30" s="90"/>
      <c r="G30" s="89"/>
      <c r="H30" s="116"/>
      <c r="I30" s="115"/>
    </row>
    <row r="31" spans="3:11" ht="36" x14ac:dyDescent="0.2">
      <c r="C31" s="83" t="s">
        <v>85</v>
      </c>
      <c r="D31" s="82">
        <f>D11*D10*D12</f>
        <v>69</v>
      </c>
      <c r="E31" s="81" t="s">
        <v>83</v>
      </c>
      <c r="F31" s="91"/>
      <c r="G31" s="89"/>
      <c r="H31" s="116"/>
      <c r="I31" s="115"/>
    </row>
    <row r="32" spans="3:11" ht="21" customHeight="1" x14ac:dyDescent="0.2">
      <c r="C32" s="83" t="s">
        <v>84</v>
      </c>
      <c r="D32" s="82">
        <f>D11*D10*D12</f>
        <v>69</v>
      </c>
      <c r="E32" s="81" t="s">
        <v>83</v>
      </c>
      <c r="F32" s="91"/>
      <c r="G32" s="89"/>
      <c r="H32" s="116"/>
      <c r="I32" s="115"/>
    </row>
    <row r="33" spans="3:9" ht="21" customHeight="1" x14ac:dyDescent="0.25">
      <c r="C33" s="77" t="s">
        <v>82</v>
      </c>
      <c r="D33" s="84">
        <f>(D28-(((3.1416*(0.063)*(0.063))/4)*D10)*D12-D29-D30)*1.3</f>
        <v>89.420382441779978</v>
      </c>
      <c r="E33" s="79" t="s">
        <v>81</v>
      </c>
      <c r="F33" s="90"/>
      <c r="G33" s="89"/>
      <c r="H33" s="116"/>
      <c r="I33" s="115"/>
    </row>
    <row r="34" spans="3:9" ht="21" hidden="1" customHeight="1" x14ac:dyDescent="0.25">
      <c r="C34" s="77" t="s">
        <v>80</v>
      </c>
      <c r="D34" s="78">
        <f>D10</f>
        <v>1.5</v>
      </c>
      <c r="E34" s="77" t="s">
        <v>76</v>
      </c>
      <c r="F34" s="87"/>
      <c r="G34" s="89"/>
      <c r="H34" s="116"/>
      <c r="I34" s="115"/>
    </row>
    <row r="35" spans="3:9" ht="21" hidden="1" customHeight="1" x14ac:dyDescent="0.25">
      <c r="C35" s="77" t="s">
        <v>79</v>
      </c>
      <c r="D35" s="78">
        <f>D10</f>
        <v>1.5</v>
      </c>
      <c r="E35" s="77" t="s">
        <v>76</v>
      </c>
      <c r="F35" s="87"/>
      <c r="G35" s="86"/>
      <c r="H35" s="114"/>
      <c r="I35" s="113"/>
    </row>
    <row r="36" spans="3:9" ht="42" customHeight="1" x14ac:dyDescent="0.25">
      <c r="C36" s="76" t="s">
        <v>75</v>
      </c>
      <c r="D36" s="82">
        <f>((D11*D10*0.05)*2.4)*D12</f>
        <v>8.2800000000000011</v>
      </c>
      <c r="E36" s="74" t="s">
        <v>74</v>
      </c>
      <c r="F36" s="87"/>
      <c r="G36" s="86"/>
      <c r="H36" s="114"/>
      <c r="I36" s="113"/>
    </row>
    <row r="37" spans="3:9" ht="21" customHeight="1" x14ac:dyDescent="0.25">
      <c r="C37" s="87"/>
      <c r="D37" s="88"/>
      <c r="E37" s="87"/>
      <c r="F37" s="87"/>
      <c r="G37" s="86"/>
      <c r="H37" s="114"/>
      <c r="I37" s="113"/>
    </row>
    <row r="38" spans="3:9" ht="21" customHeight="1" thickBot="1" x14ac:dyDescent="0.25">
      <c r="C38" s="85"/>
      <c r="D38" s="85"/>
      <c r="E38" s="85"/>
      <c r="F38" s="85"/>
      <c r="G38" s="85"/>
    </row>
    <row r="39" spans="3:9" ht="21" customHeight="1" thickBot="1" x14ac:dyDescent="0.3">
      <c r="C39" s="284" t="s">
        <v>105</v>
      </c>
      <c r="D39" s="285"/>
      <c r="E39" s="285"/>
      <c r="F39" s="286"/>
      <c r="G39" s="85"/>
    </row>
    <row r="40" spans="3:9" ht="21" customHeight="1" x14ac:dyDescent="0.25">
      <c r="C40" s="100"/>
      <c r="D40" s="99"/>
      <c r="E40" s="99"/>
      <c r="F40" s="99"/>
      <c r="G40" s="85"/>
    </row>
    <row r="41" spans="3:9" ht="21" customHeight="1" x14ac:dyDescent="0.25">
      <c r="C41" s="87" t="s">
        <v>101</v>
      </c>
      <c r="D41" s="105">
        <v>110</v>
      </c>
      <c r="E41" s="87" t="s">
        <v>100</v>
      </c>
      <c r="F41" s="87"/>
      <c r="G41" s="85"/>
    </row>
    <row r="42" spans="3:9" ht="21" customHeight="1" x14ac:dyDescent="0.25">
      <c r="C42" s="87" t="s">
        <v>98</v>
      </c>
      <c r="D42" s="97">
        <v>1.2</v>
      </c>
      <c r="E42" s="87" t="s">
        <v>76</v>
      </c>
      <c r="F42" s="87"/>
      <c r="G42" s="85"/>
    </row>
    <row r="43" spans="3:9" ht="21" customHeight="1" x14ac:dyDescent="0.25">
      <c r="C43" s="87" t="s">
        <v>97</v>
      </c>
      <c r="D43" s="95">
        <v>1.5</v>
      </c>
      <c r="E43" s="87" t="s">
        <v>41</v>
      </c>
      <c r="F43" s="87"/>
      <c r="G43" s="85"/>
    </row>
    <row r="44" spans="3:9" ht="21" customHeight="1" x14ac:dyDescent="0.25">
      <c r="C44" s="87" t="s">
        <v>96</v>
      </c>
      <c r="D44" s="95">
        <v>1</v>
      </c>
      <c r="E44" s="87" t="s">
        <v>41</v>
      </c>
      <c r="F44" s="87"/>
      <c r="G44" s="85"/>
    </row>
    <row r="45" spans="3:9" ht="21" customHeight="1" x14ac:dyDescent="0.25">
      <c r="C45" s="87" t="s">
        <v>95</v>
      </c>
      <c r="D45" s="95">
        <v>11</v>
      </c>
      <c r="E45" s="90" t="s">
        <v>94</v>
      </c>
      <c r="F45" s="87"/>
      <c r="G45" s="85"/>
    </row>
    <row r="46" spans="3:9" ht="21" customHeight="1" x14ac:dyDescent="0.25">
      <c r="C46" s="87"/>
      <c r="D46" s="90"/>
      <c r="E46" s="90"/>
      <c r="F46" s="87"/>
      <c r="G46" s="85"/>
    </row>
    <row r="47" spans="3:9" ht="21" customHeight="1" x14ac:dyDescent="0.25">
      <c r="C47" s="87"/>
      <c r="D47" s="90"/>
      <c r="E47" s="90"/>
      <c r="F47" s="87"/>
      <c r="G47" s="85"/>
    </row>
    <row r="48" spans="3:9" ht="21" customHeight="1" x14ac:dyDescent="0.25">
      <c r="C48" s="87"/>
      <c r="D48" s="90"/>
      <c r="E48" s="90"/>
      <c r="F48" s="87"/>
      <c r="G48" s="85"/>
    </row>
    <row r="49" spans="3:7" ht="21" customHeight="1" x14ac:dyDescent="0.25">
      <c r="C49" s="87"/>
      <c r="D49" s="90"/>
      <c r="E49" s="90"/>
      <c r="F49" s="87"/>
      <c r="G49" s="85"/>
    </row>
    <row r="50" spans="3:7" ht="21" customHeight="1" x14ac:dyDescent="0.25">
      <c r="C50" s="87"/>
      <c r="D50" s="90"/>
      <c r="E50" s="90"/>
      <c r="F50" s="87"/>
      <c r="G50" s="85"/>
    </row>
    <row r="51" spans="3:7" ht="21" customHeight="1" x14ac:dyDescent="0.25">
      <c r="C51" s="87"/>
      <c r="D51" s="90"/>
      <c r="E51" s="90"/>
      <c r="F51" s="87"/>
      <c r="G51" s="85"/>
    </row>
    <row r="52" spans="3:7" ht="21" customHeight="1" x14ac:dyDescent="0.25">
      <c r="C52" s="87"/>
      <c r="D52" s="90"/>
      <c r="E52" s="90"/>
      <c r="F52" s="87"/>
      <c r="G52" s="85"/>
    </row>
    <row r="53" spans="3:7" ht="21" customHeight="1" x14ac:dyDescent="0.25">
      <c r="C53" s="87"/>
      <c r="D53" s="90"/>
      <c r="E53" s="90"/>
      <c r="F53" s="87"/>
      <c r="G53" s="85"/>
    </row>
    <row r="54" spans="3:7" ht="21" customHeight="1" x14ac:dyDescent="0.25">
      <c r="C54" s="87"/>
      <c r="D54" s="90"/>
      <c r="E54" s="90"/>
      <c r="F54" s="87"/>
      <c r="G54" s="85"/>
    </row>
    <row r="55" spans="3:7" ht="21" customHeight="1" x14ac:dyDescent="0.25">
      <c r="C55" s="87"/>
      <c r="D55" s="90"/>
      <c r="E55" s="90"/>
      <c r="F55" s="87"/>
      <c r="G55" s="85"/>
    </row>
    <row r="56" spans="3:7" ht="21" customHeight="1" x14ac:dyDescent="0.25">
      <c r="C56" s="85"/>
      <c r="D56" s="87"/>
      <c r="E56" s="87"/>
      <c r="F56" s="87"/>
      <c r="G56" s="85"/>
    </row>
    <row r="57" spans="3:7" ht="21" customHeight="1" x14ac:dyDescent="0.2">
      <c r="C57" s="93"/>
      <c r="D57" s="93"/>
      <c r="E57" s="93"/>
      <c r="F57" s="93"/>
      <c r="G57" s="85"/>
    </row>
    <row r="58" spans="3:7" ht="21" hidden="1" customHeight="1" x14ac:dyDescent="0.25">
      <c r="C58" s="77" t="s">
        <v>92</v>
      </c>
      <c r="D58" s="78">
        <f>D43</f>
        <v>1.5</v>
      </c>
      <c r="E58" s="77" t="s">
        <v>41</v>
      </c>
      <c r="F58" s="87"/>
      <c r="G58" s="85"/>
    </row>
    <row r="59" spans="3:7" ht="21" customHeight="1" x14ac:dyDescent="0.25">
      <c r="C59" s="77" t="s">
        <v>91</v>
      </c>
      <c r="D59" s="84">
        <f>D43*D44*D45</f>
        <v>16.5</v>
      </c>
      <c r="E59" s="81" t="s">
        <v>83</v>
      </c>
      <c r="F59" s="87"/>
      <c r="G59" s="85"/>
    </row>
    <row r="60" spans="3:7" ht="21" customHeight="1" x14ac:dyDescent="0.25">
      <c r="C60" s="77" t="s">
        <v>88</v>
      </c>
      <c r="D60" s="84">
        <f>D44*D43*D42*D45</f>
        <v>19.799999999999997</v>
      </c>
      <c r="E60" s="79" t="s">
        <v>81</v>
      </c>
      <c r="F60" s="90"/>
      <c r="G60" s="85"/>
    </row>
    <row r="61" spans="3:7" ht="21" customHeight="1" x14ac:dyDescent="0.25">
      <c r="C61" s="77" t="s">
        <v>87</v>
      </c>
      <c r="D61" s="78">
        <f>D44*D43*0.1*D45</f>
        <v>1.6500000000000004</v>
      </c>
      <c r="E61" s="79" t="s">
        <v>81</v>
      </c>
      <c r="F61" s="90"/>
      <c r="G61" s="85"/>
    </row>
    <row r="62" spans="3:7" ht="21" customHeight="1" x14ac:dyDescent="0.25">
      <c r="C62" s="77" t="s">
        <v>86</v>
      </c>
      <c r="D62" s="78">
        <f>D44*D43*0.1*D45</f>
        <v>1.6500000000000004</v>
      </c>
      <c r="E62" s="79" t="s">
        <v>81</v>
      </c>
      <c r="F62" s="90"/>
      <c r="G62" s="85"/>
    </row>
    <row r="63" spans="3:7" ht="36" x14ac:dyDescent="0.2">
      <c r="C63" s="83" t="s">
        <v>85</v>
      </c>
      <c r="D63" s="82">
        <f>D44*D43*D45</f>
        <v>16.5</v>
      </c>
      <c r="E63" s="81" t="s">
        <v>83</v>
      </c>
      <c r="F63" s="91"/>
      <c r="G63" s="85"/>
    </row>
    <row r="64" spans="3:7" ht="21" customHeight="1" x14ac:dyDescent="0.2">
      <c r="C64" s="83" t="s">
        <v>84</v>
      </c>
      <c r="D64" s="82">
        <f>D44*D43*D45</f>
        <v>16.5</v>
      </c>
      <c r="E64" s="81" t="s">
        <v>83</v>
      </c>
      <c r="F64" s="91"/>
      <c r="G64" s="85"/>
    </row>
    <row r="65" spans="3:11" ht="21" customHeight="1" x14ac:dyDescent="0.25">
      <c r="C65" s="77" t="s">
        <v>82</v>
      </c>
      <c r="D65" s="84">
        <f>(D60-(((3.1416*(0.11)*(0.11))/4)*D43)*D45-D61-D62)*1.3</f>
        <v>21.246153357000001</v>
      </c>
      <c r="E65" s="79" t="s">
        <v>81</v>
      </c>
      <c r="F65" s="90"/>
      <c r="G65" s="85"/>
    </row>
    <row r="66" spans="3:11" ht="21" hidden="1" customHeight="1" x14ac:dyDescent="0.25">
      <c r="C66" s="77" t="s">
        <v>80</v>
      </c>
      <c r="D66" s="78">
        <f>D43</f>
        <v>1.5</v>
      </c>
      <c r="E66" s="77" t="s">
        <v>76</v>
      </c>
      <c r="F66" s="87"/>
      <c r="G66" s="85"/>
    </row>
    <row r="67" spans="3:11" ht="21" hidden="1" customHeight="1" x14ac:dyDescent="0.25">
      <c r="C67" s="77" t="s">
        <v>79</v>
      </c>
      <c r="D67" s="78">
        <f>D43</f>
        <v>1.5</v>
      </c>
      <c r="E67" s="77" t="s">
        <v>76</v>
      </c>
      <c r="F67" s="87"/>
      <c r="G67" s="85"/>
    </row>
    <row r="68" spans="3:11" s="107" customFormat="1" ht="42" customHeight="1" x14ac:dyDescent="0.2">
      <c r="C68" s="76" t="s">
        <v>75</v>
      </c>
      <c r="D68" s="75">
        <f>((D44*D43*0.05)*2.4)*D45</f>
        <v>1.9800000000000002</v>
      </c>
      <c r="E68" s="74" t="s">
        <v>74</v>
      </c>
      <c r="F68" s="106"/>
      <c r="G68" s="106"/>
      <c r="I68" s="112"/>
    </row>
    <row r="69" spans="3:11" ht="21" customHeight="1" x14ac:dyDescent="0.2">
      <c r="C69" s="85"/>
      <c r="D69" s="85"/>
      <c r="E69" s="85"/>
      <c r="F69" s="85"/>
      <c r="G69" s="85"/>
    </row>
    <row r="70" spans="3:11" ht="30.75" customHeight="1" thickBot="1" x14ac:dyDescent="0.25">
      <c r="C70" s="85"/>
      <c r="D70" s="85"/>
      <c r="E70" s="85"/>
      <c r="F70" s="85"/>
      <c r="G70" s="85"/>
    </row>
    <row r="71" spans="3:11" ht="42" customHeight="1" thickBot="1" x14ac:dyDescent="0.25">
      <c r="C71" s="287" t="s">
        <v>410</v>
      </c>
      <c r="D71" s="288"/>
      <c r="E71" s="288"/>
      <c r="F71" s="289"/>
      <c r="G71" s="85"/>
    </row>
    <row r="72" spans="3:11" x14ac:dyDescent="0.2">
      <c r="C72" s="85"/>
      <c r="D72" s="85"/>
      <c r="E72" s="85"/>
      <c r="F72" s="85"/>
      <c r="G72" s="85"/>
    </row>
    <row r="73" spans="3:11" ht="13.5" thickBot="1" x14ac:dyDescent="0.25">
      <c r="C73" s="85"/>
      <c r="D73" s="85"/>
      <c r="E73" s="85"/>
      <c r="F73" s="85"/>
      <c r="G73" s="85"/>
    </row>
    <row r="74" spans="3:11" ht="18.75" thickBot="1" x14ac:dyDescent="0.3">
      <c r="C74" s="284" t="s">
        <v>105</v>
      </c>
      <c r="D74" s="285"/>
      <c r="E74" s="285"/>
      <c r="F74" s="286"/>
      <c r="G74" s="101"/>
      <c r="H74" s="118"/>
      <c r="I74" s="115"/>
    </row>
    <row r="75" spans="3:11" ht="21" customHeight="1" x14ac:dyDescent="0.25">
      <c r="C75" s="100"/>
      <c r="D75" s="99"/>
      <c r="E75" s="99"/>
      <c r="F75" s="99"/>
      <c r="G75" s="98"/>
      <c r="H75" s="118"/>
      <c r="I75" s="115"/>
    </row>
    <row r="76" spans="3:11" ht="21" customHeight="1" x14ac:dyDescent="0.25">
      <c r="C76" s="87" t="s">
        <v>101</v>
      </c>
      <c r="D76" s="105">
        <v>160</v>
      </c>
      <c r="E76" s="87" t="s">
        <v>100</v>
      </c>
      <c r="F76" s="87"/>
      <c r="G76" s="101"/>
      <c r="I76" s="72"/>
    </row>
    <row r="77" spans="3:11" ht="21" customHeight="1" x14ac:dyDescent="0.25">
      <c r="C77" s="87" t="s">
        <v>98</v>
      </c>
      <c r="D77" s="97">
        <v>1.2</v>
      </c>
      <c r="E77" s="87" t="s">
        <v>76</v>
      </c>
      <c r="F77" s="87"/>
      <c r="G77" s="96"/>
      <c r="I77" s="72"/>
    </row>
    <row r="78" spans="3:11" ht="21" customHeight="1" x14ac:dyDescent="0.25">
      <c r="C78" s="87" t="s">
        <v>97</v>
      </c>
      <c r="D78" s="95">
        <v>1.5</v>
      </c>
      <c r="E78" s="87" t="s">
        <v>41</v>
      </c>
      <c r="F78" s="87"/>
      <c r="G78" s="94"/>
      <c r="I78" s="72"/>
    </row>
    <row r="79" spans="3:11" ht="21" customHeight="1" x14ac:dyDescent="0.25">
      <c r="C79" s="87" t="s">
        <v>96</v>
      </c>
      <c r="D79" s="95">
        <v>1</v>
      </c>
      <c r="E79" s="87" t="s">
        <v>41</v>
      </c>
      <c r="F79" s="87"/>
      <c r="G79" s="94"/>
      <c r="I79" s="72"/>
      <c r="K79" s="117"/>
    </row>
    <row r="80" spans="3:11" ht="21" customHeight="1" x14ac:dyDescent="0.25">
      <c r="C80" s="87" t="s">
        <v>95</v>
      </c>
      <c r="D80" s="95">
        <v>6</v>
      </c>
      <c r="E80" s="90" t="s">
        <v>94</v>
      </c>
      <c r="F80" s="87"/>
      <c r="G80" s="94"/>
      <c r="I80" s="72"/>
      <c r="K80" s="117"/>
    </row>
    <row r="81" spans="3:11" ht="21" customHeight="1" x14ac:dyDescent="0.25">
      <c r="C81" s="87"/>
      <c r="D81" s="90"/>
      <c r="E81" s="90"/>
      <c r="F81" s="87"/>
      <c r="G81" s="94"/>
      <c r="I81" s="72"/>
      <c r="K81" s="117"/>
    </row>
    <row r="82" spans="3:11" ht="21" customHeight="1" x14ac:dyDescent="0.25">
      <c r="C82" s="87"/>
      <c r="D82" s="90"/>
      <c r="E82" s="90"/>
      <c r="F82" s="87"/>
      <c r="G82" s="94"/>
      <c r="I82" s="72"/>
      <c r="K82" s="117"/>
    </row>
    <row r="83" spans="3:11" ht="21" customHeight="1" x14ac:dyDescent="0.25">
      <c r="C83" s="87"/>
      <c r="D83" s="90"/>
      <c r="E83" s="90"/>
      <c r="F83" s="87"/>
      <c r="G83" s="94"/>
      <c r="I83" s="72"/>
      <c r="K83" s="117"/>
    </row>
    <row r="84" spans="3:11" ht="21" customHeight="1" x14ac:dyDescent="0.25">
      <c r="C84" s="87"/>
      <c r="D84" s="90"/>
      <c r="E84" s="90"/>
      <c r="F84" s="87"/>
      <c r="G84" s="94"/>
      <c r="I84" s="72"/>
      <c r="K84" s="117"/>
    </row>
    <row r="85" spans="3:11" ht="21" customHeight="1" x14ac:dyDescent="0.25">
      <c r="C85" s="87"/>
      <c r="D85" s="90"/>
      <c r="E85" s="90"/>
      <c r="F85" s="87"/>
      <c r="G85" s="94"/>
      <c r="I85" s="72"/>
      <c r="K85" s="117"/>
    </row>
    <row r="86" spans="3:11" ht="21" customHeight="1" x14ac:dyDescent="0.25">
      <c r="C86" s="87"/>
      <c r="D86" s="90"/>
      <c r="E86" s="90"/>
      <c r="F86" s="87"/>
      <c r="G86" s="94"/>
      <c r="I86" s="72"/>
      <c r="K86" s="117"/>
    </row>
    <row r="87" spans="3:11" ht="21" customHeight="1" x14ac:dyDescent="0.25">
      <c r="C87" s="87"/>
      <c r="D87" s="90"/>
      <c r="E87" s="90"/>
      <c r="F87" s="87"/>
      <c r="G87" s="94"/>
      <c r="I87" s="72"/>
      <c r="K87" s="117"/>
    </row>
    <row r="88" spans="3:11" ht="21" customHeight="1" x14ac:dyDescent="0.25">
      <c r="C88" s="87"/>
      <c r="D88" s="90"/>
      <c r="E88" s="90"/>
      <c r="F88" s="87"/>
      <c r="G88" s="94"/>
      <c r="I88" s="72"/>
      <c r="K88" s="117"/>
    </row>
    <row r="89" spans="3:11" ht="21" customHeight="1" x14ac:dyDescent="0.25">
      <c r="C89" s="87"/>
      <c r="D89" s="90"/>
      <c r="E89" s="90"/>
      <c r="F89" s="87"/>
      <c r="G89" s="94"/>
      <c r="I89" s="72"/>
      <c r="K89" s="117"/>
    </row>
    <row r="90" spans="3:11" ht="21" customHeight="1" x14ac:dyDescent="0.25">
      <c r="C90" s="87"/>
      <c r="D90" s="90"/>
      <c r="E90" s="90"/>
      <c r="F90" s="87"/>
      <c r="G90" s="94"/>
      <c r="I90" s="72"/>
      <c r="K90" s="117"/>
    </row>
    <row r="91" spans="3:11" ht="21" customHeight="1" x14ac:dyDescent="0.25">
      <c r="C91" s="85"/>
      <c r="D91" s="87"/>
      <c r="E91" s="87"/>
      <c r="F91" s="87"/>
      <c r="G91" s="94"/>
      <c r="I91" s="72"/>
    </row>
    <row r="92" spans="3:11" ht="21" customHeight="1" x14ac:dyDescent="0.25">
      <c r="C92" s="85"/>
      <c r="D92" s="87"/>
      <c r="E92" s="87"/>
      <c r="F92" s="87"/>
      <c r="G92" s="94"/>
      <c r="I92" s="72"/>
    </row>
    <row r="93" spans="3:11" ht="21" customHeight="1" x14ac:dyDescent="0.2">
      <c r="C93" s="93"/>
      <c r="D93" s="93"/>
      <c r="E93" s="93"/>
      <c r="F93" s="93"/>
      <c r="G93" s="92"/>
      <c r="I93" s="72"/>
    </row>
    <row r="94" spans="3:11" ht="21" hidden="1" customHeight="1" x14ac:dyDescent="0.25">
      <c r="C94" s="77" t="s">
        <v>92</v>
      </c>
      <c r="D94" s="78">
        <f>D78</f>
        <v>1.5</v>
      </c>
      <c r="E94" s="77" t="s">
        <v>41</v>
      </c>
      <c r="F94" s="87"/>
      <c r="G94" s="92"/>
      <c r="I94" s="72"/>
    </row>
    <row r="95" spans="3:11" ht="21" customHeight="1" x14ac:dyDescent="0.25">
      <c r="C95" s="77" t="s">
        <v>91</v>
      </c>
      <c r="D95" s="84">
        <f>D78*D79*D80</f>
        <v>9</v>
      </c>
      <c r="E95" s="81" t="s">
        <v>83</v>
      </c>
      <c r="F95" s="87"/>
      <c r="G95" s="92"/>
      <c r="I95" s="72"/>
    </row>
    <row r="96" spans="3:11" ht="21" customHeight="1" x14ac:dyDescent="0.25">
      <c r="C96" s="77" t="s">
        <v>88</v>
      </c>
      <c r="D96" s="84">
        <f>D79*D78*D77*D80</f>
        <v>10.799999999999999</v>
      </c>
      <c r="E96" s="79" t="s">
        <v>81</v>
      </c>
      <c r="F96" s="90"/>
      <c r="G96" s="92"/>
      <c r="I96" s="72"/>
    </row>
    <row r="97" spans="3:9" ht="21" customHeight="1" x14ac:dyDescent="0.25">
      <c r="C97" s="77" t="s">
        <v>87</v>
      </c>
      <c r="D97" s="78">
        <f>D79*D78*0.1*D80</f>
        <v>0.90000000000000013</v>
      </c>
      <c r="E97" s="79" t="s">
        <v>81</v>
      </c>
      <c r="F97" s="90"/>
      <c r="G97" s="89"/>
      <c r="H97" s="116"/>
      <c r="I97" s="115"/>
    </row>
    <row r="98" spans="3:9" ht="21" customHeight="1" x14ac:dyDescent="0.25">
      <c r="C98" s="77" t="s">
        <v>86</v>
      </c>
      <c r="D98" s="78">
        <f>D79*D78*0.1*D80</f>
        <v>0.90000000000000013</v>
      </c>
      <c r="E98" s="79" t="s">
        <v>81</v>
      </c>
      <c r="F98" s="90"/>
      <c r="G98" s="89"/>
      <c r="H98" s="116"/>
      <c r="I98" s="115"/>
    </row>
    <row r="99" spans="3:9" ht="36" x14ac:dyDescent="0.2">
      <c r="C99" s="83" t="s">
        <v>85</v>
      </c>
      <c r="D99" s="82">
        <f>D79*D78*D80</f>
        <v>9</v>
      </c>
      <c r="E99" s="81" t="s">
        <v>83</v>
      </c>
      <c r="F99" s="91"/>
      <c r="G99" s="89"/>
      <c r="H99" s="116"/>
      <c r="I99" s="115"/>
    </row>
    <row r="100" spans="3:9" ht="21" customHeight="1" x14ac:dyDescent="0.2">
      <c r="C100" s="83" t="s">
        <v>84</v>
      </c>
      <c r="D100" s="82">
        <f>D79*D78*D80</f>
        <v>9</v>
      </c>
      <c r="E100" s="81" t="s">
        <v>83</v>
      </c>
      <c r="F100" s="91"/>
      <c r="G100" s="89"/>
      <c r="H100" s="116"/>
      <c r="I100" s="115"/>
    </row>
    <row r="101" spans="3:9" ht="21" customHeight="1" x14ac:dyDescent="0.25">
      <c r="C101" s="77" t="s">
        <v>82</v>
      </c>
      <c r="D101" s="84">
        <f>(D96-(((3.1416*(0.16)*(0.16))/4)*D78)*D80-D97-D98)*1.3</f>
        <v>11.464756992</v>
      </c>
      <c r="E101" s="79" t="s">
        <v>81</v>
      </c>
      <c r="F101" s="90"/>
      <c r="G101" s="89"/>
      <c r="H101" s="116"/>
      <c r="I101" s="115"/>
    </row>
    <row r="102" spans="3:9" ht="21" hidden="1" customHeight="1" x14ac:dyDescent="0.25">
      <c r="C102" s="77" t="s">
        <v>80</v>
      </c>
      <c r="D102" s="78">
        <f>D78</f>
        <v>1.5</v>
      </c>
      <c r="E102" s="77" t="s">
        <v>76</v>
      </c>
      <c r="F102" s="87"/>
      <c r="G102" s="89"/>
      <c r="H102" s="116"/>
      <c r="I102" s="115"/>
    </row>
    <row r="103" spans="3:9" ht="21" hidden="1" customHeight="1" x14ac:dyDescent="0.25">
      <c r="C103" s="77" t="s">
        <v>79</v>
      </c>
      <c r="D103" s="78">
        <f>D78</f>
        <v>1.5</v>
      </c>
      <c r="E103" s="77" t="s">
        <v>76</v>
      </c>
      <c r="F103" s="87"/>
      <c r="G103" s="86"/>
      <c r="H103" s="114"/>
      <c r="I103" s="113"/>
    </row>
    <row r="104" spans="3:9" ht="42" customHeight="1" x14ac:dyDescent="0.25">
      <c r="C104" s="76" t="s">
        <v>75</v>
      </c>
      <c r="D104" s="82">
        <f>((D79*D78*0.05)*2.4)*D80</f>
        <v>1.08</v>
      </c>
      <c r="E104" s="74" t="s">
        <v>74</v>
      </c>
      <c r="F104" s="87"/>
      <c r="G104" s="86"/>
      <c r="H104" s="114"/>
      <c r="I104" s="113"/>
    </row>
    <row r="105" spans="3:9" ht="21" customHeight="1" x14ac:dyDescent="0.25">
      <c r="C105" s="87"/>
      <c r="D105" s="88"/>
      <c r="E105" s="87"/>
      <c r="F105" s="87"/>
      <c r="G105" s="86"/>
      <c r="H105" s="114"/>
      <c r="I105" s="113"/>
    </row>
    <row r="106" spans="3:9" ht="21" customHeight="1" thickBot="1" x14ac:dyDescent="0.25">
      <c r="C106" s="85"/>
      <c r="D106" s="85"/>
      <c r="E106" s="85"/>
      <c r="F106" s="85"/>
      <c r="G106" s="85"/>
    </row>
    <row r="107" spans="3:9" ht="21" customHeight="1" thickBot="1" x14ac:dyDescent="0.3">
      <c r="C107" s="284" t="s">
        <v>105</v>
      </c>
      <c r="D107" s="285"/>
      <c r="E107" s="285"/>
      <c r="F107" s="286"/>
      <c r="G107" s="85"/>
    </row>
    <row r="108" spans="3:9" ht="21" customHeight="1" x14ac:dyDescent="0.25">
      <c r="C108" s="100"/>
      <c r="D108" s="99"/>
      <c r="E108" s="99"/>
      <c r="F108" s="99"/>
      <c r="G108" s="85"/>
    </row>
    <row r="109" spans="3:9" ht="21" customHeight="1" x14ac:dyDescent="0.25">
      <c r="C109" s="87" t="s">
        <v>101</v>
      </c>
      <c r="D109" s="105">
        <v>200</v>
      </c>
      <c r="E109" s="87" t="s">
        <v>100</v>
      </c>
      <c r="F109" s="87"/>
      <c r="G109" s="85"/>
    </row>
    <row r="110" spans="3:9" ht="21" customHeight="1" x14ac:dyDescent="0.25">
      <c r="C110" s="87" t="s">
        <v>98</v>
      </c>
      <c r="D110" s="97">
        <v>1.2</v>
      </c>
      <c r="E110" s="87" t="s">
        <v>76</v>
      </c>
      <c r="F110" s="87"/>
      <c r="G110" s="85"/>
    </row>
    <row r="111" spans="3:9" ht="21" customHeight="1" x14ac:dyDescent="0.25">
      <c r="C111" s="87" t="s">
        <v>97</v>
      </c>
      <c r="D111" s="95">
        <v>1.5</v>
      </c>
      <c r="E111" s="87" t="s">
        <v>41</v>
      </c>
      <c r="F111" s="87"/>
      <c r="G111" s="85"/>
    </row>
    <row r="112" spans="3:9" ht="21" customHeight="1" x14ac:dyDescent="0.25">
      <c r="C112" s="87" t="s">
        <v>96</v>
      </c>
      <c r="D112" s="95">
        <v>1</v>
      </c>
      <c r="E112" s="87" t="s">
        <v>41</v>
      </c>
      <c r="F112" s="87"/>
      <c r="G112" s="85"/>
    </row>
    <row r="113" spans="3:7" ht="21" customHeight="1" x14ac:dyDescent="0.25">
      <c r="C113" s="87" t="s">
        <v>95</v>
      </c>
      <c r="D113" s="95">
        <v>0</v>
      </c>
      <c r="E113" s="90" t="s">
        <v>94</v>
      </c>
      <c r="F113" s="87"/>
      <c r="G113" s="85"/>
    </row>
    <row r="114" spans="3:7" ht="21" customHeight="1" x14ac:dyDescent="0.25">
      <c r="C114" s="87"/>
      <c r="D114" s="90"/>
      <c r="E114" s="90"/>
      <c r="F114" s="87"/>
      <c r="G114" s="85"/>
    </row>
    <row r="115" spans="3:7" ht="21" customHeight="1" x14ac:dyDescent="0.25">
      <c r="C115" s="87"/>
      <c r="D115" s="90"/>
      <c r="E115" s="90"/>
      <c r="F115" s="87"/>
      <c r="G115" s="85"/>
    </row>
    <row r="116" spans="3:7" ht="21" customHeight="1" x14ac:dyDescent="0.25">
      <c r="C116" s="87"/>
      <c r="D116" s="90"/>
      <c r="E116" s="90"/>
      <c r="F116" s="87"/>
      <c r="G116" s="85"/>
    </row>
    <row r="117" spans="3:7" ht="21" customHeight="1" x14ac:dyDescent="0.25">
      <c r="C117" s="87"/>
      <c r="D117" s="90"/>
      <c r="E117" s="90"/>
      <c r="F117" s="87"/>
      <c r="G117" s="85"/>
    </row>
    <row r="118" spans="3:7" ht="21" customHeight="1" x14ac:dyDescent="0.25">
      <c r="C118" s="87"/>
      <c r="D118" s="90"/>
      <c r="E118" s="90"/>
      <c r="F118" s="87"/>
      <c r="G118" s="85"/>
    </row>
    <row r="119" spans="3:7" ht="21" customHeight="1" x14ac:dyDescent="0.25">
      <c r="C119" s="87"/>
      <c r="D119" s="90"/>
      <c r="E119" s="90"/>
      <c r="F119" s="87"/>
      <c r="G119" s="85"/>
    </row>
    <row r="120" spans="3:7" ht="21" customHeight="1" x14ac:dyDescent="0.25">
      <c r="C120" s="87"/>
      <c r="D120" s="90"/>
      <c r="E120" s="90"/>
      <c r="F120" s="87"/>
      <c r="G120" s="85"/>
    </row>
    <row r="121" spans="3:7" ht="21" customHeight="1" x14ac:dyDescent="0.25">
      <c r="C121" s="87"/>
      <c r="D121" s="90"/>
      <c r="E121" s="90"/>
      <c r="F121" s="87"/>
      <c r="G121" s="85"/>
    </row>
    <row r="122" spans="3:7" ht="21" customHeight="1" x14ac:dyDescent="0.25">
      <c r="C122" s="87"/>
      <c r="D122" s="90"/>
      <c r="E122" s="90"/>
      <c r="F122" s="87"/>
      <c r="G122" s="85"/>
    </row>
    <row r="123" spans="3:7" ht="21" customHeight="1" x14ac:dyDescent="0.25">
      <c r="C123" s="87"/>
      <c r="D123" s="90"/>
      <c r="E123" s="90"/>
      <c r="F123" s="87"/>
      <c r="G123" s="85"/>
    </row>
    <row r="124" spans="3:7" ht="21" customHeight="1" x14ac:dyDescent="0.25">
      <c r="C124" s="85"/>
      <c r="D124" s="87"/>
      <c r="E124" s="87"/>
      <c r="F124" s="87"/>
      <c r="G124" s="85"/>
    </row>
    <row r="125" spans="3:7" ht="21" customHeight="1" x14ac:dyDescent="0.2">
      <c r="C125" s="93"/>
      <c r="D125" s="93"/>
      <c r="E125" s="93"/>
      <c r="F125" s="93"/>
      <c r="G125" s="85"/>
    </row>
    <row r="126" spans="3:7" ht="21" hidden="1" customHeight="1" x14ac:dyDescent="0.25">
      <c r="C126" s="77" t="s">
        <v>92</v>
      </c>
      <c r="D126" s="78">
        <f>D111</f>
        <v>1.5</v>
      </c>
      <c r="E126" s="77" t="s">
        <v>41</v>
      </c>
      <c r="F126" s="87"/>
      <c r="G126" s="85"/>
    </row>
    <row r="127" spans="3:7" ht="21" customHeight="1" x14ac:dyDescent="0.25">
      <c r="C127" s="77" t="s">
        <v>91</v>
      </c>
      <c r="D127" s="84">
        <f>D111*D112*D113</f>
        <v>0</v>
      </c>
      <c r="E127" s="81" t="s">
        <v>83</v>
      </c>
      <c r="F127" s="87"/>
      <c r="G127" s="85"/>
    </row>
    <row r="128" spans="3:7" ht="21" customHeight="1" x14ac:dyDescent="0.25">
      <c r="C128" s="77" t="s">
        <v>88</v>
      </c>
      <c r="D128" s="84">
        <f>D112*D111*D110*D113</f>
        <v>0</v>
      </c>
      <c r="E128" s="79" t="s">
        <v>81</v>
      </c>
      <c r="F128" s="90"/>
      <c r="G128" s="85"/>
    </row>
    <row r="129" spans="3:9" ht="21" customHeight="1" x14ac:dyDescent="0.25">
      <c r="C129" s="77" t="s">
        <v>87</v>
      </c>
      <c r="D129" s="78">
        <f>D112*D111*0.1*D113</f>
        <v>0</v>
      </c>
      <c r="E129" s="79" t="s">
        <v>81</v>
      </c>
      <c r="F129" s="90"/>
      <c r="G129" s="85"/>
    </row>
    <row r="130" spans="3:9" ht="21" customHeight="1" x14ac:dyDescent="0.25">
      <c r="C130" s="77" t="s">
        <v>86</v>
      </c>
      <c r="D130" s="78">
        <f>D112*D111*0.1*D113</f>
        <v>0</v>
      </c>
      <c r="E130" s="79" t="s">
        <v>81</v>
      </c>
      <c r="F130" s="90"/>
      <c r="G130" s="85"/>
    </row>
    <row r="131" spans="3:9" ht="36" x14ac:dyDescent="0.2">
      <c r="C131" s="83" t="s">
        <v>85</v>
      </c>
      <c r="D131" s="82">
        <f>D112*D111*D113</f>
        <v>0</v>
      </c>
      <c r="E131" s="81" t="s">
        <v>83</v>
      </c>
      <c r="F131" s="91"/>
      <c r="G131" s="85"/>
    </row>
    <row r="132" spans="3:9" ht="21" customHeight="1" x14ac:dyDescent="0.2">
      <c r="C132" s="83" t="s">
        <v>84</v>
      </c>
      <c r="D132" s="82">
        <f>D112*D111*D113</f>
        <v>0</v>
      </c>
      <c r="E132" s="81" t="s">
        <v>83</v>
      </c>
      <c r="F132" s="91"/>
      <c r="G132" s="85"/>
    </row>
    <row r="133" spans="3:9" ht="21" customHeight="1" x14ac:dyDescent="0.25">
      <c r="C133" s="77" t="s">
        <v>82</v>
      </c>
      <c r="D133" s="84">
        <f>(D128-(((3.1416*(0.2)*(0.2))/4)*D111)*D113-D129-D130)*1.3</f>
        <v>0</v>
      </c>
      <c r="E133" s="79" t="s">
        <v>81</v>
      </c>
      <c r="F133" s="90"/>
      <c r="G133" s="85"/>
    </row>
    <row r="134" spans="3:9" ht="21" hidden="1" customHeight="1" x14ac:dyDescent="0.25">
      <c r="C134" s="77" t="s">
        <v>80</v>
      </c>
      <c r="D134" s="78">
        <f>D111</f>
        <v>1.5</v>
      </c>
      <c r="E134" s="77" t="s">
        <v>76</v>
      </c>
      <c r="F134" s="87"/>
      <c r="G134" s="85"/>
    </row>
    <row r="135" spans="3:9" ht="21" hidden="1" customHeight="1" x14ac:dyDescent="0.25">
      <c r="C135" s="77" t="s">
        <v>79</v>
      </c>
      <c r="D135" s="78">
        <f>D111</f>
        <v>1.5</v>
      </c>
      <c r="E135" s="77" t="s">
        <v>76</v>
      </c>
      <c r="F135" s="87"/>
      <c r="G135" s="85"/>
    </row>
    <row r="136" spans="3:9" s="107" customFormat="1" ht="42" customHeight="1" x14ac:dyDescent="0.2">
      <c r="C136" s="76" t="s">
        <v>75</v>
      </c>
      <c r="D136" s="75">
        <f>((D112*D111*0.05)*2.4)*D113</f>
        <v>0</v>
      </c>
      <c r="E136" s="74" t="s">
        <v>74</v>
      </c>
      <c r="F136" s="106"/>
      <c r="G136" s="106"/>
      <c r="I136" s="112"/>
    </row>
    <row r="137" spans="3:9" ht="21" customHeight="1" x14ac:dyDescent="0.2">
      <c r="C137" s="85"/>
      <c r="D137" s="85"/>
      <c r="E137" s="85"/>
      <c r="F137" s="85"/>
      <c r="G137" s="85"/>
    </row>
    <row r="138" spans="3:9" ht="21" customHeight="1" thickBot="1" x14ac:dyDescent="0.25">
      <c r="C138" s="85"/>
      <c r="D138" s="85"/>
      <c r="E138" s="85"/>
      <c r="F138" s="85"/>
      <c r="G138" s="85"/>
    </row>
    <row r="139" spans="3:9" s="104" customFormat="1" ht="42" customHeight="1" thickBot="1" x14ac:dyDescent="0.25">
      <c r="C139" s="287" t="s">
        <v>410</v>
      </c>
      <c r="D139" s="288"/>
      <c r="E139" s="288"/>
      <c r="F139" s="289"/>
      <c r="G139" s="103"/>
      <c r="I139" s="111"/>
    </row>
    <row r="140" spans="3:9" ht="21" customHeight="1" thickBot="1" x14ac:dyDescent="0.25">
      <c r="C140" s="85"/>
      <c r="D140" s="85"/>
      <c r="E140" s="85"/>
      <c r="F140" s="85"/>
      <c r="G140" s="85"/>
    </row>
    <row r="141" spans="3:9" ht="21" customHeight="1" thickBot="1" x14ac:dyDescent="0.3">
      <c r="C141" s="284" t="s">
        <v>105</v>
      </c>
      <c r="D141" s="285"/>
      <c r="E141" s="285"/>
      <c r="F141" s="286"/>
      <c r="G141" s="101"/>
    </row>
    <row r="142" spans="3:9" ht="21" customHeight="1" x14ac:dyDescent="0.25">
      <c r="C142" s="100"/>
      <c r="D142" s="99"/>
      <c r="E142" s="99"/>
      <c r="F142" s="99"/>
      <c r="G142" s="98"/>
    </row>
    <row r="143" spans="3:9" ht="21" customHeight="1" x14ac:dyDescent="0.25">
      <c r="C143" s="87" t="s">
        <v>101</v>
      </c>
      <c r="D143" s="105">
        <v>250</v>
      </c>
      <c r="E143" s="87" t="s">
        <v>100</v>
      </c>
      <c r="F143" s="87"/>
      <c r="G143" s="101"/>
    </row>
    <row r="144" spans="3:9" ht="21" customHeight="1" x14ac:dyDescent="0.25">
      <c r="C144" s="87" t="s">
        <v>98</v>
      </c>
      <c r="D144" s="97">
        <v>1.2</v>
      </c>
      <c r="E144" s="87" t="s">
        <v>76</v>
      </c>
      <c r="F144" s="87"/>
      <c r="G144" s="96"/>
    </row>
    <row r="145" spans="3:7" ht="21" customHeight="1" x14ac:dyDescent="0.25">
      <c r="C145" s="87" t="s">
        <v>97</v>
      </c>
      <c r="D145" s="95">
        <v>1.5</v>
      </c>
      <c r="E145" s="87" t="s">
        <v>41</v>
      </c>
      <c r="F145" s="87"/>
      <c r="G145" s="94"/>
    </row>
    <row r="146" spans="3:7" ht="21" customHeight="1" x14ac:dyDescent="0.25">
      <c r="C146" s="87" t="s">
        <v>96</v>
      </c>
      <c r="D146" s="95">
        <v>1</v>
      </c>
      <c r="E146" s="87" t="s">
        <v>41</v>
      </c>
      <c r="F146" s="87"/>
      <c r="G146" s="94"/>
    </row>
    <row r="147" spans="3:7" ht="21" customHeight="1" x14ac:dyDescent="0.25">
      <c r="C147" s="87" t="s">
        <v>95</v>
      </c>
      <c r="D147" s="95">
        <v>0</v>
      </c>
      <c r="E147" s="90" t="s">
        <v>94</v>
      </c>
      <c r="F147" s="87"/>
      <c r="G147" s="94"/>
    </row>
    <row r="148" spans="3:7" ht="21" customHeight="1" x14ac:dyDescent="0.25">
      <c r="C148" s="87"/>
      <c r="D148" s="90"/>
      <c r="E148" s="90"/>
      <c r="F148" s="87"/>
      <c r="G148" s="94"/>
    </row>
    <row r="149" spans="3:7" ht="21" customHeight="1" x14ac:dyDescent="0.25">
      <c r="C149" s="87"/>
      <c r="D149" s="90"/>
      <c r="E149" s="90"/>
      <c r="F149" s="87"/>
      <c r="G149" s="94"/>
    </row>
    <row r="150" spans="3:7" ht="21" customHeight="1" x14ac:dyDescent="0.25">
      <c r="C150" s="87"/>
      <c r="D150" s="90"/>
      <c r="E150" s="90"/>
      <c r="F150" s="87"/>
      <c r="G150" s="94"/>
    </row>
    <row r="151" spans="3:7" ht="21" customHeight="1" x14ac:dyDescent="0.25">
      <c r="C151" s="87"/>
      <c r="D151" s="90"/>
      <c r="E151" s="90"/>
      <c r="F151" s="87"/>
      <c r="G151" s="94"/>
    </row>
    <row r="152" spans="3:7" ht="21" customHeight="1" x14ac:dyDescent="0.25">
      <c r="C152" s="87"/>
      <c r="D152" s="90"/>
      <c r="E152" s="90"/>
      <c r="F152" s="87"/>
      <c r="G152" s="94"/>
    </row>
    <row r="153" spans="3:7" ht="21" customHeight="1" x14ac:dyDescent="0.25">
      <c r="C153" s="87"/>
      <c r="D153" s="90"/>
      <c r="E153" s="90"/>
      <c r="F153" s="87"/>
      <c r="G153" s="94"/>
    </row>
    <row r="154" spans="3:7" ht="21" customHeight="1" x14ac:dyDescent="0.25">
      <c r="C154" s="87"/>
      <c r="D154" s="90"/>
      <c r="E154" s="90"/>
      <c r="F154" s="87"/>
      <c r="G154" s="94"/>
    </row>
    <row r="155" spans="3:7" ht="21" customHeight="1" x14ac:dyDescent="0.25">
      <c r="C155" s="87"/>
      <c r="D155" s="90"/>
      <c r="E155" s="90"/>
      <c r="F155" s="87"/>
      <c r="G155" s="94"/>
    </row>
    <row r="156" spans="3:7" ht="21" customHeight="1" x14ac:dyDescent="0.25">
      <c r="C156" s="87"/>
      <c r="D156" s="90"/>
      <c r="E156" s="90"/>
      <c r="F156" s="87"/>
      <c r="G156" s="94"/>
    </row>
    <row r="157" spans="3:7" ht="21" customHeight="1" x14ac:dyDescent="0.25">
      <c r="C157" s="85"/>
      <c r="D157" s="87"/>
      <c r="E157" s="87"/>
      <c r="F157" s="87"/>
      <c r="G157" s="94"/>
    </row>
    <row r="158" spans="3:7" ht="21" customHeight="1" x14ac:dyDescent="0.25">
      <c r="C158" s="85"/>
      <c r="D158" s="87"/>
      <c r="E158" s="87"/>
      <c r="F158" s="87"/>
      <c r="G158" s="94"/>
    </row>
    <row r="159" spans="3:7" ht="21" customHeight="1" x14ac:dyDescent="0.25">
      <c r="C159" s="85"/>
      <c r="D159" s="87"/>
      <c r="E159" s="87"/>
      <c r="F159" s="87"/>
      <c r="G159" s="94"/>
    </row>
    <row r="160" spans="3:7" ht="21" customHeight="1" x14ac:dyDescent="0.2">
      <c r="C160" s="93"/>
      <c r="D160" s="93"/>
      <c r="E160" s="93"/>
      <c r="F160" s="93"/>
      <c r="G160" s="92"/>
    </row>
    <row r="161" spans="3:7" ht="21" hidden="1" customHeight="1" x14ac:dyDescent="0.25">
      <c r="C161" s="77" t="s">
        <v>92</v>
      </c>
      <c r="D161" s="78">
        <f>D145</f>
        <v>1.5</v>
      </c>
      <c r="E161" s="77" t="s">
        <v>41</v>
      </c>
      <c r="F161" s="87"/>
      <c r="G161" s="92"/>
    </row>
    <row r="162" spans="3:7" ht="21" customHeight="1" x14ac:dyDescent="0.25">
      <c r="C162" s="77" t="s">
        <v>91</v>
      </c>
      <c r="D162" s="84">
        <f>D145*D146*D147</f>
        <v>0</v>
      </c>
      <c r="E162" s="81" t="s">
        <v>83</v>
      </c>
      <c r="F162" s="87"/>
      <c r="G162" s="92"/>
    </row>
    <row r="163" spans="3:7" ht="21" customHeight="1" x14ac:dyDescent="0.25">
      <c r="C163" s="77" t="s">
        <v>88</v>
      </c>
      <c r="D163" s="84">
        <f>D146*D145*D144*D147</f>
        <v>0</v>
      </c>
      <c r="E163" s="79" t="s">
        <v>81</v>
      </c>
      <c r="F163" s="90"/>
      <c r="G163" s="92"/>
    </row>
    <row r="164" spans="3:7" ht="21" customHeight="1" x14ac:dyDescent="0.25">
      <c r="C164" s="77" t="s">
        <v>87</v>
      </c>
      <c r="D164" s="78">
        <f>D146*D145*0.1*D147</f>
        <v>0</v>
      </c>
      <c r="E164" s="79" t="s">
        <v>81</v>
      </c>
      <c r="F164" s="90"/>
      <c r="G164" s="89"/>
    </row>
    <row r="165" spans="3:7" ht="21" customHeight="1" x14ac:dyDescent="0.25">
      <c r="C165" s="77" t="s">
        <v>86</v>
      </c>
      <c r="D165" s="78">
        <f>D146*D145*0.1*D147</f>
        <v>0</v>
      </c>
      <c r="E165" s="79" t="s">
        <v>81</v>
      </c>
      <c r="F165" s="90"/>
      <c r="G165" s="89"/>
    </row>
    <row r="166" spans="3:7" ht="36" x14ac:dyDescent="0.2">
      <c r="C166" s="83" t="s">
        <v>85</v>
      </c>
      <c r="D166" s="82">
        <f>D146*D145*D147</f>
        <v>0</v>
      </c>
      <c r="E166" s="81" t="s">
        <v>83</v>
      </c>
      <c r="F166" s="91"/>
      <c r="G166" s="89"/>
    </row>
    <row r="167" spans="3:7" ht="21" customHeight="1" x14ac:dyDescent="0.2">
      <c r="C167" s="83" t="s">
        <v>84</v>
      </c>
      <c r="D167" s="82">
        <f>D146*D145*D147</f>
        <v>0</v>
      </c>
      <c r="E167" s="81" t="s">
        <v>83</v>
      </c>
      <c r="F167" s="91"/>
      <c r="G167" s="89"/>
    </row>
    <row r="168" spans="3:7" ht="21" customHeight="1" x14ac:dyDescent="0.25">
      <c r="C168" s="77" t="s">
        <v>82</v>
      </c>
      <c r="D168" s="84">
        <f>(D163-(((3.1416*(0.25)*(0.25))/4)*D145)-D164-D165)*1.3*D147</f>
        <v>0</v>
      </c>
      <c r="E168" s="79" t="s">
        <v>81</v>
      </c>
      <c r="F168" s="90"/>
      <c r="G168" s="89"/>
    </row>
    <row r="169" spans="3:7" ht="21" hidden="1" customHeight="1" x14ac:dyDescent="0.25">
      <c r="C169" s="77" t="s">
        <v>80</v>
      </c>
      <c r="D169" s="78">
        <f>D145</f>
        <v>1.5</v>
      </c>
      <c r="E169" s="77" t="s">
        <v>76</v>
      </c>
      <c r="F169" s="87"/>
      <c r="G169" s="89"/>
    </row>
    <row r="170" spans="3:7" ht="21" hidden="1" customHeight="1" x14ac:dyDescent="0.25">
      <c r="C170" s="77" t="s">
        <v>79</v>
      </c>
      <c r="D170" s="78">
        <f>D145</f>
        <v>1.5</v>
      </c>
      <c r="E170" s="77" t="s">
        <v>76</v>
      </c>
      <c r="F170" s="87"/>
      <c r="G170" s="86"/>
    </row>
    <row r="171" spans="3:7" ht="42" customHeight="1" x14ac:dyDescent="0.25">
      <c r="C171" s="76" t="s">
        <v>75</v>
      </c>
      <c r="D171" s="82">
        <f>((D146*D145*0.05)*2.4)*D147</f>
        <v>0</v>
      </c>
      <c r="E171" s="74" t="s">
        <v>74</v>
      </c>
      <c r="F171" s="87"/>
      <c r="G171" s="86"/>
    </row>
    <row r="172" spans="3:7" ht="21" customHeight="1" x14ac:dyDescent="0.25">
      <c r="C172" s="87"/>
      <c r="D172" s="88"/>
      <c r="E172" s="87"/>
      <c r="F172" s="87"/>
      <c r="G172" s="86"/>
    </row>
    <row r="173" spans="3:7" ht="21" customHeight="1" thickBot="1" x14ac:dyDescent="0.25">
      <c r="C173" s="85"/>
      <c r="D173" s="85"/>
      <c r="E173" s="85"/>
      <c r="F173" s="85"/>
      <c r="G173" s="85"/>
    </row>
    <row r="174" spans="3:7" ht="21" customHeight="1" thickBot="1" x14ac:dyDescent="0.3">
      <c r="C174" s="284" t="s">
        <v>104</v>
      </c>
      <c r="D174" s="285"/>
      <c r="E174" s="285"/>
      <c r="F174" s="286"/>
      <c r="G174" s="85"/>
    </row>
    <row r="175" spans="3:7" ht="21" customHeight="1" x14ac:dyDescent="0.25">
      <c r="C175" s="100"/>
      <c r="D175" s="99"/>
      <c r="E175" s="99"/>
      <c r="F175" s="99"/>
      <c r="G175" s="85"/>
    </row>
    <row r="176" spans="3:7" ht="21" customHeight="1" x14ac:dyDescent="0.25">
      <c r="C176" s="87" t="s">
        <v>101</v>
      </c>
      <c r="D176" s="105">
        <v>63</v>
      </c>
      <c r="E176" s="87" t="s">
        <v>100</v>
      </c>
      <c r="F176" s="87"/>
      <c r="G176" s="85"/>
    </row>
    <row r="177" spans="3:7" ht="21" customHeight="1" x14ac:dyDescent="0.25">
      <c r="C177" s="87" t="s">
        <v>98</v>
      </c>
      <c r="D177" s="97">
        <v>1.2</v>
      </c>
      <c r="E177" s="87" t="s">
        <v>76</v>
      </c>
      <c r="F177" s="87"/>
      <c r="G177" s="85"/>
    </row>
    <row r="178" spans="3:7" ht="21" customHeight="1" x14ac:dyDescent="0.25">
      <c r="C178" s="87" t="s">
        <v>97</v>
      </c>
      <c r="D178" s="95">
        <v>2.5</v>
      </c>
      <c r="E178" s="87" t="s">
        <v>41</v>
      </c>
      <c r="F178" s="87"/>
      <c r="G178" s="85"/>
    </row>
    <row r="179" spans="3:7" ht="21" customHeight="1" x14ac:dyDescent="0.25">
      <c r="C179" s="87" t="s">
        <v>96</v>
      </c>
      <c r="D179" s="95">
        <v>1</v>
      </c>
      <c r="E179" s="87" t="s">
        <v>41</v>
      </c>
      <c r="F179" s="87"/>
      <c r="G179" s="85"/>
    </row>
    <row r="180" spans="3:7" ht="21" customHeight="1" x14ac:dyDescent="0.25">
      <c r="C180" s="87" t="s">
        <v>95</v>
      </c>
      <c r="D180" s="95">
        <v>46</v>
      </c>
      <c r="E180" s="90" t="s">
        <v>94</v>
      </c>
      <c r="F180" s="87"/>
      <c r="G180" s="85"/>
    </row>
    <row r="181" spans="3:7" ht="21" customHeight="1" x14ac:dyDescent="0.25">
      <c r="C181" s="87"/>
      <c r="D181" s="90"/>
      <c r="E181" s="90"/>
      <c r="F181" s="87"/>
      <c r="G181" s="85"/>
    </row>
    <row r="182" spans="3:7" ht="21" customHeight="1" x14ac:dyDescent="0.25">
      <c r="C182" s="87"/>
      <c r="D182" s="90"/>
      <c r="E182" s="90"/>
      <c r="F182" s="87"/>
      <c r="G182" s="85"/>
    </row>
    <row r="183" spans="3:7" ht="21" customHeight="1" x14ac:dyDescent="0.25">
      <c r="C183" s="87"/>
      <c r="D183" s="90"/>
      <c r="E183" s="90"/>
      <c r="F183" s="87"/>
      <c r="G183" s="85"/>
    </row>
    <row r="184" spans="3:7" ht="21" customHeight="1" x14ac:dyDescent="0.25">
      <c r="C184" s="87"/>
      <c r="D184" s="90"/>
      <c r="E184" s="90"/>
      <c r="F184" s="87"/>
      <c r="G184" s="85"/>
    </row>
    <row r="185" spans="3:7" ht="21" customHeight="1" x14ac:dyDescent="0.25">
      <c r="C185" s="87"/>
      <c r="D185" s="90"/>
      <c r="E185" s="90"/>
      <c r="F185" s="87"/>
      <c r="G185" s="85"/>
    </row>
    <row r="186" spans="3:7" ht="21" customHeight="1" x14ac:dyDescent="0.25">
      <c r="C186" s="87"/>
      <c r="D186" s="90"/>
      <c r="E186" s="90"/>
      <c r="F186" s="87"/>
      <c r="G186" s="85"/>
    </row>
    <row r="187" spans="3:7" ht="21" customHeight="1" x14ac:dyDescent="0.25">
      <c r="C187" s="87"/>
      <c r="D187" s="90"/>
      <c r="E187" s="90"/>
      <c r="F187" s="87"/>
      <c r="G187" s="85"/>
    </row>
    <row r="188" spans="3:7" ht="21" customHeight="1" x14ac:dyDescent="0.25">
      <c r="C188" s="87"/>
      <c r="D188" s="90"/>
      <c r="E188" s="90"/>
      <c r="F188" s="87"/>
      <c r="G188" s="85"/>
    </row>
    <row r="189" spans="3:7" ht="21" customHeight="1" x14ac:dyDescent="0.25">
      <c r="C189" s="87"/>
      <c r="D189" s="90"/>
      <c r="E189" s="90"/>
      <c r="F189" s="87"/>
      <c r="G189" s="85"/>
    </row>
    <row r="190" spans="3:7" ht="21" customHeight="1" x14ac:dyDescent="0.25">
      <c r="C190" s="87"/>
      <c r="D190" s="90"/>
      <c r="E190" s="90"/>
      <c r="F190" s="87"/>
      <c r="G190" s="85"/>
    </row>
    <row r="191" spans="3:7" ht="21" customHeight="1" x14ac:dyDescent="0.25">
      <c r="C191" s="85"/>
      <c r="D191" s="87"/>
      <c r="E191" s="87"/>
      <c r="F191" s="87"/>
      <c r="G191" s="85"/>
    </row>
    <row r="192" spans="3:7" ht="21" customHeight="1" x14ac:dyDescent="0.25">
      <c r="C192" s="85"/>
      <c r="D192" s="87"/>
      <c r="E192" s="87"/>
      <c r="F192" s="87"/>
      <c r="G192" s="85"/>
    </row>
    <row r="193" spans="3:7" ht="21" customHeight="1" x14ac:dyDescent="0.2">
      <c r="C193" s="93"/>
      <c r="D193" s="93"/>
      <c r="E193" s="93"/>
      <c r="F193" s="93"/>
      <c r="G193" s="85"/>
    </row>
    <row r="194" spans="3:7" ht="21" hidden="1" customHeight="1" x14ac:dyDescent="0.25">
      <c r="C194" s="77" t="s">
        <v>92</v>
      </c>
      <c r="D194" s="78">
        <f>D178</f>
        <v>2.5</v>
      </c>
      <c r="E194" s="77" t="s">
        <v>41</v>
      </c>
      <c r="F194" s="87"/>
      <c r="G194" s="85"/>
    </row>
    <row r="195" spans="3:7" ht="21" customHeight="1" x14ac:dyDescent="0.25">
      <c r="C195" s="77" t="s">
        <v>91</v>
      </c>
      <c r="D195" s="84">
        <f>D178*D179*D180</f>
        <v>115</v>
      </c>
      <c r="E195" s="81" t="s">
        <v>83</v>
      </c>
      <c r="F195" s="87"/>
      <c r="G195" s="85"/>
    </row>
    <row r="196" spans="3:7" ht="21" customHeight="1" x14ac:dyDescent="0.25">
      <c r="C196" s="77" t="s">
        <v>88</v>
      </c>
      <c r="D196" s="84">
        <f>D179*D178*D177*D180</f>
        <v>138</v>
      </c>
      <c r="E196" s="79" t="s">
        <v>81</v>
      </c>
      <c r="F196" s="90"/>
      <c r="G196" s="85"/>
    </row>
    <row r="197" spans="3:7" ht="21" customHeight="1" x14ac:dyDescent="0.25">
      <c r="C197" s="77" t="s">
        <v>87</v>
      </c>
      <c r="D197" s="78">
        <f>D179*D178*0.1*D180</f>
        <v>11.5</v>
      </c>
      <c r="E197" s="79" t="s">
        <v>81</v>
      </c>
      <c r="F197" s="90"/>
      <c r="G197" s="85"/>
    </row>
    <row r="198" spans="3:7" ht="21" customHeight="1" x14ac:dyDescent="0.25">
      <c r="C198" s="77" t="s">
        <v>86</v>
      </c>
      <c r="D198" s="78">
        <f>D179*D178*0.1*D180</f>
        <v>11.5</v>
      </c>
      <c r="E198" s="79" t="s">
        <v>81</v>
      </c>
      <c r="F198" s="90"/>
      <c r="G198" s="85"/>
    </row>
    <row r="199" spans="3:7" ht="36" x14ac:dyDescent="0.2">
      <c r="C199" s="83" t="s">
        <v>85</v>
      </c>
      <c r="D199" s="82">
        <f>D179*D178*D180</f>
        <v>115</v>
      </c>
      <c r="E199" s="81" t="s">
        <v>83</v>
      </c>
      <c r="F199" s="91"/>
      <c r="G199" s="85"/>
    </row>
    <row r="200" spans="3:7" ht="21" customHeight="1" x14ac:dyDescent="0.2">
      <c r="C200" s="83" t="s">
        <v>84</v>
      </c>
      <c r="D200" s="82">
        <f>D179*D178*D180</f>
        <v>115</v>
      </c>
      <c r="E200" s="81" t="s">
        <v>83</v>
      </c>
      <c r="F200" s="91"/>
      <c r="G200" s="85"/>
    </row>
    <row r="201" spans="3:7" ht="21" customHeight="1" x14ac:dyDescent="0.25">
      <c r="C201" s="77" t="s">
        <v>82</v>
      </c>
      <c r="D201" s="84">
        <f>(D196-(((3.1416*(0.063)*(0.063))/4)*D178)*D180-D197-D198)*1.3</f>
        <v>149.03397073630001</v>
      </c>
      <c r="E201" s="79" t="s">
        <v>81</v>
      </c>
      <c r="F201" s="90"/>
      <c r="G201" s="85"/>
    </row>
    <row r="202" spans="3:7" ht="21" hidden="1" customHeight="1" x14ac:dyDescent="0.25">
      <c r="C202" s="77" t="s">
        <v>80</v>
      </c>
      <c r="D202" s="78">
        <f>D178</f>
        <v>2.5</v>
      </c>
      <c r="E202" s="77" t="s">
        <v>76</v>
      </c>
      <c r="F202" s="87"/>
      <c r="G202" s="85"/>
    </row>
    <row r="203" spans="3:7" ht="21" hidden="1" customHeight="1" x14ac:dyDescent="0.25">
      <c r="C203" s="77" t="s">
        <v>79</v>
      </c>
      <c r="D203" s="78">
        <f>D178</f>
        <v>2.5</v>
      </c>
      <c r="E203" s="77" t="s">
        <v>76</v>
      </c>
      <c r="F203" s="87"/>
      <c r="G203" s="85"/>
    </row>
    <row r="204" spans="3:7" ht="42" customHeight="1" x14ac:dyDescent="0.2">
      <c r="C204" s="76" t="s">
        <v>75</v>
      </c>
      <c r="D204" s="82">
        <f>((D179*D178*0.05)*2.4)*D180</f>
        <v>13.799999999999999</v>
      </c>
      <c r="E204" s="74" t="s">
        <v>74</v>
      </c>
      <c r="F204" s="85"/>
      <c r="G204" s="85"/>
    </row>
    <row r="205" spans="3:7" ht="21" customHeight="1" x14ac:dyDescent="0.2">
      <c r="C205" s="85"/>
      <c r="D205" s="85"/>
      <c r="E205" s="85"/>
      <c r="F205" s="85"/>
      <c r="G205" s="85"/>
    </row>
    <row r="206" spans="3:7" ht="21" customHeight="1" thickBot="1" x14ac:dyDescent="0.25">
      <c r="C206" s="85"/>
      <c r="D206" s="85"/>
      <c r="E206" s="85"/>
      <c r="F206" s="85"/>
      <c r="G206" s="85"/>
    </row>
    <row r="207" spans="3:7" ht="42" customHeight="1" thickBot="1" x14ac:dyDescent="0.25">
      <c r="C207" s="287" t="s">
        <v>410</v>
      </c>
      <c r="D207" s="288"/>
      <c r="E207" s="288"/>
      <c r="F207" s="289"/>
      <c r="G207" s="85"/>
    </row>
    <row r="208" spans="3:7" ht="21" customHeight="1" x14ac:dyDescent="0.2">
      <c r="C208" s="85"/>
      <c r="D208" s="85"/>
      <c r="E208" s="85"/>
      <c r="F208" s="85"/>
      <c r="G208" s="85"/>
    </row>
    <row r="209" spans="3:7" ht="21" customHeight="1" thickBot="1" x14ac:dyDescent="0.25">
      <c r="C209" s="85"/>
      <c r="D209" s="85"/>
      <c r="E209" s="85"/>
      <c r="F209" s="85"/>
      <c r="G209" s="85"/>
    </row>
    <row r="210" spans="3:7" ht="21" customHeight="1" thickBot="1" x14ac:dyDescent="0.3">
      <c r="C210" s="284" t="s">
        <v>104</v>
      </c>
      <c r="D210" s="285"/>
      <c r="E210" s="285"/>
      <c r="F210" s="286"/>
      <c r="G210" s="101"/>
    </row>
    <row r="211" spans="3:7" ht="21" customHeight="1" x14ac:dyDescent="0.25">
      <c r="C211" s="100"/>
      <c r="D211" s="99"/>
      <c r="E211" s="99"/>
      <c r="F211" s="99"/>
      <c r="G211" s="98"/>
    </row>
    <row r="212" spans="3:7" ht="21" customHeight="1" x14ac:dyDescent="0.25">
      <c r="C212" s="87" t="s">
        <v>101</v>
      </c>
      <c r="D212" s="105">
        <v>110</v>
      </c>
      <c r="E212" s="87" t="s">
        <v>100</v>
      </c>
      <c r="F212" s="87"/>
      <c r="G212" s="101"/>
    </row>
    <row r="213" spans="3:7" ht="21" customHeight="1" x14ac:dyDescent="0.25">
      <c r="C213" s="87" t="s">
        <v>98</v>
      </c>
      <c r="D213" s="97">
        <v>1.2</v>
      </c>
      <c r="E213" s="87" t="s">
        <v>76</v>
      </c>
      <c r="F213" s="87"/>
      <c r="G213" s="96"/>
    </row>
    <row r="214" spans="3:7" ht="21" customHeight="1" x14ac:dyDescent="0.25">
      <c r="C214" s="87" t="s">
        <v>97</v>
      </c>
      <c r="D214" s="95">
        <v>2.5</v>
      </c>
      <c r="E214" s="87" t="s">
        <v>41</v>
      </c>
      <c r="F214" s="87"/>
      <c r="G214" s="94"/>
    </row>
    <row r="215" spans="3:7" ht="21" customHeight="1" x14ac:dyDescent="0.25">
      <c r="C215" s="87" t="s">
        <v>96</v>
      </c>
      <c r="D215" s="95">
        <v>1</v>
      </c>
      <c r="E215" s="87" t="s">
        <v>41</v>
      </c>
      <c r="F215" s="87"/>
      <c r="G215" s="94"/>
    </row>
    <row r="216" spans="3:7" ht="21" customHeight="1" x14ac:dyDescent="0.25">
      <c r="C216" s="87" t="s">
        <v>95</v>
      </c>
      <c r="D216" s="95">
        <v>12</v>
      </c>
      <c r="E216" s="90" t="s">
        <v>94</v>
      </c>
      <c r="F216" s="87"/>
      <c r="G216" s="94"/>
    </row>
    <row r="217" spans="3:7" ht="21" customHeight="1" x14ac:dyDescent="0.25">
      <c r="C217" s="87"/>
      <c r="D217" s="90"/>
      <c r="E217" s="90"/>
      <c r="F217" s="87"/>
      <c r="G217" s="94"/>
    </row>
    <row r="218" spans="3:7" ht="21" customHeight="1" x14ac:dyDescent="0.25">
      <c r="C218" s="87"/>
      <c r="D218" s="90"/>
      <c r="E218" s="90"/>
      <c r="F218" s="87"/>
      <c r="G218" s="94"/>
    </row>
    <row r="219" spans="3:7" ht="21" customHeight="1" x14ac:dyDescent="0.25">
      <c r="C219" s="87"/>
      <c r="D219" s="90"/>
      <c r="E219" s="90"/>
      <c r="F219" s="87"/>
      <c r="G219" s="94"/>
    </row>
    <row r="220" spans="3:7" ht="21" customHeight="1" x14ac:dyDescent="0.25">
      <c r="C220" s="87"/>
      <c r="D220" s="90"/>
      <c r="E220" s="90"/>
      <c r="F220" s="87"/>
      <c r="G220" s="94"/>
    </row>
    <row r="221" spans="3:7" ht="21" customHeight="1" x14ac:dyDescent="0.25">
      <c r="C221" s="87"/>
      <c r="D221" s="90"/>
      <c r="E221" s="90"/>
      <c r="F221" s="87"/>
      <c r="G221" s="94"/>
    </row>
    <row r="222" spans="3:7" ht="21" customHeight="1" x14ac:dyDescent="0.25">
      <c r="C222" s="87"/>
      <c r="D222" s="90"/>
      <c r="E222" s="90"/>
      <c r="F222" s="87"/>
      <c r="G222" s="94"/>
    </row>
    <row r="223" spans="3:7" ht="21" customHeight="1" x14ac:dyDescent="0.25">
      <c r="C223" s="87"/>
      <c r="D223" s="90"/>
      <c r="E223" s="90"/>
      <c r="F223" s="87"/>
      <c r="G223" s="94"/>
    </row>
    <row r="224" spans="3:7" ht="21" customHeight="1" x14ac:dyDescent="0.25">
      <c r="C224" s="87"/>
      <c r="D224" s="90"/>
      <c r="E224" s="90"/>
      <c r="F224" s="87"/>
      <c r="G224" s="94"/>
    </row>
    <row r="225" spans="3:7" ht="21" customHeight="1" x14ac:dyDescent="0.25">
      <c r="C225" s="85"/>
      <c r="D225" s="87"/>
      <c r="E225" s="87"/>
      <c r="F225" s="87"/>
      <c r="G225" s="94"/>
    </row>
    <row r="226" spans="3:7" ht="21" customHeight="1" x14ac:dyDescent="0.25">
      <c r="C226" s="85"/>
      <c r="D226" s="87"/>
      <c r="E226" s="87"/>
      <c r="F226" s="87"/>
      <c r="G226" s="94"/>
    </row>
    <row r="227" spans="3:7" ht="21" customHeight="1" x14ac:dyDescent="0.25">
      <c r="C227" s="85"/>
      <c r="D227" s="87"/>
      <c r="E227" s="87"/>
      <c r="F227" s="87"/>
      <c r="G227" s="94"/>
    </row>
    <row r="228" spans="3:7" ht="21" customHeight="1" x14ac:dyDescent="0.2">
      <c r="C228" s="93"/>
      <c r="D228" s="93"/>
      <c r="E228" s="93"/>
      <c r="F228" s="93"/>
      <c r="G228" s="92"/>
    </row>
    <row r="229" spans="3:7" ht="21" customHeight="1" x14ac:dyDescent="0.2">
      <c r="C229" s="93"/>
      <c r="D229" s="93"/>
      <c r="E229" s="93"/>
      <c r="F229" s="93"/>
      <c r="G229" s="92"/>
    </row>
    <row r="230" spans="3:7" ht="21" hidden="1" customHeight="1" x14ac:dyDescent="0.25">
      <c r="C230" s="77" t="s">
        <v>92</v>
      </c>
      <c r="D230" s="78">
        <f>D214</f>
        <v>2.5</v>
      </c>
      <c r="E230" s="77" t="s">
        <v>41</v>
      </c>
      <c r="F230" s="87"/>
      <c r="G230" s="92"/>
    </row>
    <row r="231" spans="3:7" ht="21" customHeight="1" x14ac:dyDescent="0.25">
      <c r="C231" s="77" t="s">
        <v>91</v>
      </c>
      <c r="D231" s="84">
        <f>D214*D215*D216</f>
        <v>30</v>
      </c>
      <c r="E231" s="81" t="s">
        <v>83</v>
      </c>
      <c r="F231" s="87"/>
      <c r="G231" s="92"/>
    </row>
    <row r="232" spans="3:7" ht="21" customHeight="1" x14ac:dyDescent="0.25">
      <c r="C232" s="77" t="s">
        <v>88</v>
      </c>
      <c r="D232" s="84">
        <f>D215*D214*D213*D216</f>
        <v>36</v>
      </c>
      <c r="E232" s="79" t="s">
        <v>81</v>
      </c>
      <c r="F232" s="90"/>
      <c r="G232" s="92"/>
    </row>
    <row r="233" spans="3:7" ht="21" customHeight="1" x14ac:dyDescent="0.25">
      <c r="C233" s="77" t="s">
        <v>87</v>
      </c>
      <c r="D233" s="78">
        <f>D215*D214*0.1*D216</f>
        <v>3</v>
      </c>
      <c r="E233" s="79" t="s">
        <v>81</v>
      </c>
      <c r="F233" s="90"/>
      <c r="G233" s="89"/>
    </row>
    <row r="234" spans="3:7" ht="21" customHeight="1" x14ac:dyDescent="0.25">
      <c r="C234" s="77" t="s">
        <v>86</v>
      </c>
      <c r="D234" s="78">
        <f>D215*D214*0.1*D216</f>
        <v>3</v>
      </c>
      <c r="E234" s="79" t="s">
        <v>81</v>
      </c>
      <c r="F234" s="90"/>
      <c r="G234" s="89"/>
    </row>
    <row r="235" spans="3:7" ht="36" x14ac:dyDescent="0.2">
      <c r="C235" s="83" t="s">
        <v>85</v>
      </c>
      <c r="D235" s="82">
        <f>D215*D214*D216</f>
        <v>30</v>
      </c>
      <c r="E235" s="81" t="s">
        <v>83</v>
      </c>
      <c r="F235" s="91"/>
      <c r="G235" s="89"/>
    </row>
    <row r="236" spans="3:7" ht="21" customHeight="1" x14ac:dyDescent="0.2">
      <c r="C236" s="83" t="s">
        <v>84</v>
      </c>
      <c r="D236" s="82">
        <f>D215*D214*D216</f>
        <v>30</v>
      </c>
      <c r="E236" s="81" t="s">
        <v>83</v>
      </c>
      <c r="F236" s="91"/>
      <c r="G236" s="89"/>
    </row>
    <row r="237" spans="3:7" ht="21" customHeight="1" x14ac:dyDescent="0.25">
      <c r="C237" s="77" t="s">
        <v>82</v>
      </c>
      <c r="D237" s="84">
        <f>(D232-(((3.1416*(0.11)*(0.11))/4)*D214)*D216-D233-D234)*1.3</f>
        <v>38.629369740000001</v>
      </c>
      <c r="E237" s="79" t="s">
        <v>81</v>
      </c>
      <c r="F237" s="90"/>
      <c r="G237" s="89"/>
    </row>
    <row r="238" spans="3:7" ht="21" hidden="1" customHeight="1" x14ac:dyDescent="0.25">
      <c r="C238" s="77" t="s">
        <v>80</v>
      </c>
      <c r="D238" s="78">
        <f>D214</f>
        <v>2.5</v>
      </c>
      <c r="E238" s="77" t="s">
        <v>76</v>
      </c>
      <c r="F238" s="87"/>
      <c r="G238" s="89"/>
    </row>
    <row r="239" spans="3:7" ht="21" hidden="1" customHeight="1" x14ac:dyDescent="0.25">
      <c r="C239" s="77" t="s">
        <v>79</v>
      </c>
      <c r="D239" s="78">
        <f>D214</f>
        <v>2.5</v>
      </c>
      <c r="E239" s="77" t="s">
        <v>76</v>
      </c>
      <c r="F239" s="87"/>
      <c r="G239" s="86"/>
    </row>
    <row r="240" spans="3:7" ht="42" customHeight="1" x14ac:dyDescent="0.25">
      <c r="C240" s="76" t="s">
        <v>75</v>
      </c>
      <c r="D240" s="82">
        <f>((D215*D214*0.05)*2.4)*D216</f>
        <v>3.5999999999999996</v>
      </c>
      <c r="E240" s="74" t="s">
        <v>74</v>
      </c>
      <c r="F240" s="87"/>
      <c r="G240" s="86"/>
    </row>
    <row r="241" spans="3:7" ht="21" customHeight="1" x14ac:dyDescent="0.25">
      <c r="C241" s="87"/>
      <c r="D241" s="88"/>
      <c r="E241" s="87"/>
      <c r="F241" s="87"/>
      <c r="G241" s="86"/>
    </row>
    <row r="242" spans="3:7" ht="21" customHeight="1" thickBot="1" x14ac:dyDescent="0.25">
      <c r="C242" s="85"/>
      <c r="D242" s="85"/>
      <c r="E242" s="85"/>
      <c r="F242" s="85"/>
      <c r="G242" s="85"/>
    </row>
    <row r="243" spans="3:7" ht="21" customHeight="1" thickBot="1" x14ac:dyDescent="0.3">
      <c r="C243" s="284" t="s">
        <v>104</v>
      </c>
      <c r="D243" s="285"/>
      <c r="E243" s="285"/>
      <c r="F243" s="286"/>
      <c r="G243" s="85"/>
    </row>
    <row r="244" spans="3:7" ht="21" customHeight="1" x14ac:dyDescent="0.25">
      <c r="C244" s="100"/>
      <c r="D244" s="99"/>
      <c r="E244" s="99"/>
      <c r="F244" s="99"/>
      <c r="G244" s="85"/>
    </row>
    <row r="245" spans="3:7" ht="21" customHeight="1" x14ac:dyDescent="0.25">
      <c r="C245" s="87" t="s">
        <v>101</v>
      </c>
      <c r="D245" s="105">
        <v>160</v>
      </c>
      <c r="E245" s="87" t="s">
        <v>100</v>
      </c>
      <c r="F245" s="87"/>
      <c r="G245" s="85"/>
    </row>
    <row r="246" spans="3:7" ht="21" customHeight="1" x14ac:dyDescent="0.25">
      <c r="C246" s="87" t="s">
        <v>98</v>
      </c>
      <c r="D246" s="97">
        <v>1.2</v>
      </c>
      <c r="E246" s="87" t="s">
        <v>76</v>
      </c>
      <c r="F246" s="87"/>
      <c r="G246" s="85"/>
    </row>
    <row r="247" spans="3:7" ht="21" customHeight="1" x14ac:dyDescent="0.25">
      <c r="C247" s="87" t="s">
        <v>97</v>
      </c>
      <c r="D247" s="95">
        <v>2.5</v>
      </c>
      <c r="E247" s="87" t="s">
        <v>41</v>
      </c>
      <c r="F247" s="87"/>
      <c r="G247" s="85"/>
    </row>
    <row r="248" spans="3:7" ht="21" customHeight="1" x14ac:dyDescent="0.25">
      <c r="C248" s="87" t="s">
        <v>96</v>
      </c>
      <c r="D248" s="95">
        <v>1</v>
      </c>
      <c r="E248" s="87" t="s">
        <v>41</v>
      </c>
      <c r="F248" s="87"/>
      <c r="G248" s="85"/>
    </row>
    <row r="249" spans="3:7" ht="21" customHeight="1" x14ac:dyDescent="0.25">
      <c r="C249" s="87" t="s">
        <v>95</v>
      </c>
      <c r="D249" s="95">
        <v>7</v>
      </c>
      <c r="E249" s="90" t="s">
        <v>94</v>
      </c>
      <c r="F249" s="87"/>
      <c r="G249" s="85"/>
    </row>
    <row r="250" spans="3:7" ht="21" customHeight="1" x14ac:dyDescent="0.25">
      <c r="C250" s="87"/>
      <c r="D250" s="90"/>
      <c r="E250" s="90"/>
      <c r="F250" s="87"/>
      <c r="G250" s="85"/>
    </row>
    <row r="251" spans="3:7" ht="21" customHeight="1" x14ac:dyDescent="0.25">
      <c r="C251" s="87"/>
      <c r="D251" s="90"/>
      <c r="E251" s="90"/>
      <c r="F251" s="87"/>
      <c r="G251" s="85"/>
    </row>
    <row r="252" spans="3:7" ht="21" customHeight="1" x14ac:dyDescent="0.25">
      <c r="C252" s="87"/>
      <c r="D252" s="90"/>
      <c r="E252" s="90"/>
      <c r="F252" s="87"/>
      <c r="G252" s="85"/>
    </row>
    <row r="253" spans="3:7" ht="21" customHeight="1" x14ac:dyDescent="0.25">
      <c r="C253" s="87"/>
      <c r="D253" s="90"/>
      <c r="E253" s="90"/>
      <c r="F253" s="87"/>
      <c r="G253" s="85"/>
    </row>
    <row r="254" spans="3:7" ht="21" customHeight="1" x14ac:dyDescent="0.25">
      <c r="C254" s="87"/>
      <c r="D254" s="90"/>
      <c r="E254" s="90"/>
      <c r="F254" s="87"/>
      <c r="G254" s="85"/>
    </row>
    <row r="255" spans="3:7" ht="21" customHeight="1" x14ac:dyDescent="0.25">
      <c r="C255" s="87"/>
      <c r="D255" s="90"/>
      <c r="E255" s="90"/>
      <c r="F255" s="87"/>
      <c r="G255" s="85"/>
    </row>
    <row r="256" spans="3:7" ht="21" customHeight="1" x14ac:dyDescent="0.25">
      <c r="C256" s="87"/>
      <c r="D256" s="90"/>
      <c r="E256" s="90"/>
      <c r="F256" s="87"/>
      <c r="G256" s="85"/>
    </row>
    <row r="257" spans="3:7" ht="21" customHeight="1" x14ac:dyDescent="0.25">
      <c r="C257" s="87"/>
      <c r="D257" s="90"/>
      <c r="E257" s="90"/>
      <c r="F257" s="87"/>
      <c r="G257" s="85"/>
    </row>
    <row r="258" spans="3:7" ht="21" customHeight="1" x14ac:dyDescent="0.25">
      <c r="C258" s="87"/>
      <c r="D258" s="90"/>
      <c r="E258" s="90"/>
      <c r="F258" s="87"/>
      <c r="G258" s="85"/>
    </row>
    <row r="259" spans="3:7" ht="21" customHeight="1" x14ac:dyDescent="0.25">
      <c r="C259" s="87"/>
      <c r="D259" s="90"/>
      <c r="E259" s="90"/>
      <c r="F259" s="87"/>
      <c r="G259" s="85"/>
    </row>
    <row r="260" spans="3:7" ht="21" customHeight="1" x14ac:dyDescent="0.25">
      <c r="C260" s="85"/>
      <c r="D260" s="87"/>
      <c r="E260" s="87"/>
      <c r="F260" s="87"/>
      <c r="G260" s="85"/>
    </row>
    <row r="261" spans="3:7" ht="21" customHeight="1" x14ac:dyDescent="0.25">
      <c r="C261" s="85"/>
      <c r="D261" s="87"/>
      <c r="E261" s="87"/>
      <c r="F261" s="87"/>
      <c r="G261" s="85"/>
    </row>
    <row r="262" spans="3:7" ht="21" hidden="1" customHeight="1" x14ac:dyDescent="0.25">
      <c r="C262" s="77" t="s">
        <v>92</v>
      </c>
      <c r="D262" s="78">
        <f>D247</f>
        <v>2.5</v>
      </c>
      <c r="E262" s="77" t="s">
        <v>41</v>
      </c>
      <c r="F262" s="87"/>
      <c r="G262" s="85"/>
    </row>
    <row r="263" spans="3:7" ht="21" customHeight="1" x14ac:dyDescent="0.25">
      <c r="C263" s="77" t="s">
        <v>91</v>
      </c>
      <c r="D263" s="84">
        <f>D248*D247*D249</f>
        <v>17.5</v>
      </c>
      <c r="E263" s="81" t="s">
        <v>83</v>
      </c>
      <c r="F263" s="87"/>
      <c r="G263" s="85"/>
    </row>
    <row r="264" spans="3:7" ht="21" customHeight="1" x14ac:dyDescent="0.25">
      <c r="C264" s="77" t="s">
        <v>88</v>
      </c>
      <c r="D264" s="84">
        <f>D248*D247*D246*D249</f>
        <v>21</v>
      </c>
      <c r="E264" s="79" t="s">
        <v>81</v>
      </c>
      <c r="F264" s="90"/>
      <c r="G264" s="85"/>
    </row>
    <row r="265" spans="3:7" ht="21" customHeight="1" x14ac:dyDescent="0.25">
      <c r="C265" s="77" t="s">
        <v>87</v>
      </c>
      <c r="D265" s="78">
        <f>D248*D247*0.1*D249</f>
        <v>1.75</v>
      </c>
      <c r="E265" s="79" t="s">
        <v>81</v>
      </c>
      <c r="F265" s="90"/>
      <c r="G265" s="85"/>
    </row>
    <row r="266" spans="3:7" ht="21" customHeight="1" x14ac:dyDescent="0.25">
      <c r="C266" s="77" t="s">
        <v>86</v>
      </c>
      <c r="D266" s="78">
        <f>D248*D247*0.1*D249</f>
        <v>1.75</v>
      </c>
      <c r="E266" s="79" t="s">
        <v>81</v>
      </c>
      <c r="F266" s="90"/>
      <c r="G266" s="85"/>
    </row>
    <row r="267" spans="3:7" ht="36" x14ac:dyDescent="0.2">
      <c r="C267" s="83" t="s">
        <v>85</v>
      </c>
      <c r="D267" s="82">
        <f>D248*D247*D249</f>
        <v>17.5</v>
      </c>
      <c r="E267" s="81" t="s">
        <v>83</v>
      </c>
      <c r="F267" s="91"/>
      <c r="G267" s="85"/>
    </row>
    <row r="268" spans="3:7" ht="21" customHeight="1" x14ac:dyDescent="0.2">
      <c r="C268" s="83" t="s">
        <v>84</v>
      </c>
      <c r="D268" s="82">
        <f>D248*D247*D249</f>
        <v>17.5</v>
      </c>
      <c r="E268" s="81" t="s">
        <v>83</v>
      </c>
      <c r="F268" s="91"/>
      <c r="G268" s="85"/>
    </row>
    <row r="269" spans="3:7" ht="21" customHeight="1" x14ac:dyDescent="0.25">
      <c r="C269" s="77" t="s">
        <v>82</v>
      </c>
      <c r="D269" s="84">
        <f>(D264-(((3.1416*(0.16)*(0.16))/4)*D247)*D249-D265-D266)*1.3</f>
        <v>22.29258304</v>
      </c>
      <c r="E269" s="79" t="s">
        <v>81</v>
      </c>
      <c r="F269" s="90"/>
      <c r="G269" s="85"/>
    </row>
    <row r="270" spans="3:7" ht="21" hidden="1" customHeight="1" x14ac:dyDescent="0.25">
      <c r="C270" s="77" t="s">
        <v>78</v>
      </c>
      <c r="D270" s="78">
        <f>D247</f>
        <v>2.5</v>
      </c>
      <c r="E270" s="77" t="s">
        <v>76</v>
      </c>
      <c r="F270" s="87"/>
      <c r="G270" s="85"/>
    </row>
    <row r="271" spans="3:7" ht="21" hidden="1" customHeight="1" x14ac:dyDescent="0.25">
      <c r="C271" s="77" t="s">
        <v>77</v>
      </c>
      <c r="D271" s="78">
        <f>D247</f>
        <v>2.5</v>
      </c>
      <c r="E271" s="77" t="s">
        <v>76</v>
      </c>
      <c r="F271" s="87"/>
      <c r="G271" s="85"/>
    </row>
    <row r="272" spans="3:7" ht="42" customHeight="1" x14ac:dyDescent="0.2">
      <c r="C272" s="76" t="s">
        <v>75</v>
      </c>
      <c r="D272" s="82">
        <f>((D248*D247*0.05)*2.4)*D249</f>
        <v>2.1</v>
      </c>
      <c r="E272" s="74" t="s">
        <v>74</v>
      </c>
      <c r="F272" s="85"/>
      <c r="G272" s="85"/>
    </row>
    <row r="273" spans="3:7" ht="21" customHeight="1" x14ac:dyDescent="0.2">
      <c r="C273" s="85"/>
      <c r="D273" s="85"/>
      <c r="E273" s="85"/>
      <c r="F273" s="85"/>
      <c r="G273" s="85"/>
    </row>
    <row r="274" spans="3:7" ht="21" customHeight="1" thickBot="1" x14ac:dyDescent="0.25">
      <c r="C274" s="85"/>
      <c r="D274" s="85"/>
      <c r="E274" s="85"/>
      <c r="F274" s="85"/>
      <c r="G274" s="85"/>
    </row>
    <row r="275" spans="3:7" ht="42" customHeight="1" thickBot="1" x14ac:dyDescent="0.25">
      <c r="C275" s="287" t="s">
        <v>410</v>
      </c>
      <c r="D275" s="288"/>
      <c r="E275" s="288"/>
      <c r="F275" s="289"/>
      <c r="G275" s="85"/>
    </row>
    <row r="276" spans="3:7" ht="21" customHeight="1" x14ac:dyDescent="0.2">
      <c r="C276" s="85"/>
      <c r="D276" s="85"/>
      <c r="E276" s="85"/>
      <c r="F276" s="85"/>
      <c r="G276" s="85"/>
    </row>
    <row r="277" spans="3:7" ht="21" customHeight="1" thickBot="1" x14ac:dyDescent="0.25">
      <c r="C277" s="85"/>
      <c r="D277" s="85"/>
      <c r="E277" s="85"/>
      <c r="F277" s="85"/>
      <c r="G277" s="85"/>
    </row>
    <row r="278" spans="3:7" ht="21" customHeight="1" thickBot="1" x14ac:dyDescent="0.3">
      <c r="C278" s="284" t="s">
        <v>104</v>
      </c>
      <c r="D278" s="285"/>
      <c r="E278" s="285"/>
      <c r="F278" s="286"/>
      <c r="G278" s="101"/>
    </row>
    <row r="279" spans="3:7" ht="21" customHeight="1" x14ac:dyDescent="0.25">
      <c r="C279" s="100"/>
      <c r="D279" s="99"/>
      <c r="E279" s="99"/>
      <c r="F279" s="99"/>
      <c r="G279" s="98"/>
    </row>
    <row r="280" spans="3:7" ht="21" customHeight="1" x14ac:dyDescent="0.25">
      <c r="C280" s="87" t="s">
        <v>101</v>
      </c>
      <c r="D280" s="105">
        <v>200</v>
      </c>
      <c r="E280" s="87" t="s">
        <v>100</v>
      </c>
      <c r="F280" s="87"/>
      <c r="G280" s="101"/>
    </row>
    <row r="281" spans="3:7" ht="21" customHeight="1" x14ac:dyDescent="0.25">
      <c r="C281" s="87" t="s">
        <v>98</v>
      </c>
      <c r="D281" s="97">
        <v>1.2</v>
      </c>
      <c r="E281" s="87" t="s">
        <v>76</v>
      </c>
      <c r="F281" s="87"/>
      <c r="G281" s="96"/>
    </row>
    <row r="282" spans="3:7" ht="21" customHeight="1" x14ac:dyDescent="0.25">
      <c r="C282" s="87" t="s">
        <v>97</v>
      </c>
      <c r="D282" s="95">
        <v>2.5</v>
      </c>
      <c r="E282" s="87" t="s">
        <v>41</v>
      </c>
      <c r="F282" s="87"/>
      <c r="G282" s="94"/>
    </row>
    <row r="283" spans="3:7" ht="21" customHeight="1" x14ac:dyDescent="0.25">
      <c r="C283" s="87" t="s">
        <v>96</v>
      </c>
      <c r="D283" s="95">
        <v>1</v>
      </c>
      <c r="E283" s="87" t="s">
        <v>41</v>
      </c>
      <c r="F283" s="87"/>
      <c r="G283" s="94"/>
    </row>
    <row r="284" spans="3:7" ht="21" customHeight="1" x14ac:dyDescent="0.25">
      <c r="C284" s="87" t="s">
        <v>95</v>
      </c>
      <c r="D284" s="95">
        <v>0</v>
      </c>
      <c r="E284" s="90" t="s">
        <v>94</v>
      </c>
      <c r="F284" s="87"/>
      <c r="G284" s="94"/>
    </row>
    <row r="285" spans="3:7" ht="21" customHeight="1" x14ac:dyDescent="0.25">
      <c r="C285" s="87"/>
      <c r="D285" s="90"/>
      <c r="E285" s="90"/>
      <c r="F285" s="87"/>
      <c r="G285" s="94"/>
    </row>
    <row r="286" spans="3:7" ht="21" customHeight="1" x14ac:dyDescent="0.25">
      <c r="C286" s="87"/>
      <c r="D286" s="90"/>
      <c r="E286" s="90"/>
      <c r="F286" s="87"/>
      <c r="G286" s="94"/>
    </row>
    <row r="287" spans="3:7" ht="21" customHeight="1" x14ac:dyDescent="0.25">
      <c r="C287" s="87"/>
      <c r="D287" s="90"/>
      <c r="E287" s="90"/>
      <c r="F287" s="87"/>
      <c r="G287" s="94"/>
    </row>
    <row r="288" spans="3:7" ht="21" customHeight="1" x14ac:dyDescent="0.25">
      <c r="C288" s="87"/>
      <c r="D288" s="90"/>
      <c r="E288" s="90"/>
      <c r="F288" s="87"/>
      <c r="G288" s="94"/>
    </row>
    <row r="289" spans="3:7" ht="21" customHeight="1" x14ac:dyDescent="0.25">
      <c r="C289" s="87"/>
      <c r="D289" s="90"/>
      <c r="E289" s="90"/>
      <c r="F289" s="87"/>
      <c r="G289" s="94"/>
    </row>
    <row r="290" spans="3:7" ht="21" customHeight="1" x14ac:dyDescent="0.25">
      <c r="C290" s="87"/>
      <c r="D290" s="90"/>
      <c r="E290" s="90"/>
      <c r="F290" s="87"/>
      <c r="G290" s="94"/>
    </row>
    <row r="291" spans="3:7" ht="21" customHeight="1" x14ac:dyDescent="0.25">
      <c r="C291" s="87"/>
      <c r="D291" s="90"/>
      <c r="E291" s="90"/>
      <c r="F291" s="87"/>
      <c r="G291" s="94"/>
    </row>
    <row r="292" spans="3:7" ht="21" customHeight="1" x14ac:dyDescent="0.25">
      <c r="C292" s="87"/>
      <c r="D292" s="90"/>
      <c r="E292" s="90"/>
      <c r="F292" s="87"/>
      <c r="G292" s="94"/>
    </row>
    <row r="293" spans="3:7" ht="21" customHeight="1" x14ac:dyDescent="0.25">
      <c r="C293" s="85"/>
      <c r="D293" s="87"/>
      <c r="E293" s="87"/>
      <c r="F293" s="87"/>
      <c r="G293" s="94"/>
    </row>
    <row r="294" spans="3:7" ht="21" customHeight="1" x14ac:dyDescent="0.25">
      <c r="C294" s="85"/>
      <c r="D294" s="87"/>
      <c r="E294" s="87"/>
      <c r="F294" s="87"/>
      <c r="G294" s="94"/>
    </row>
    <row r="295" spans="3:7" ht="21" customHeight="1" x14ac:dyDescent="0.25">
      <c r="C295" s="85"/>
      <c r="D295" s="87"/>
      <c r="E295" s="87"/>
      <c r="F295" s="87"/>
      <c r="G295" s="94"/>
    </row>
    <row r="296" spans="3:7" ht="21" customHeight="1" x14ac:dyDescent="0.2">
      <c r="C296" s="93"/>
      <c r="D296" s="93"/>
      <c r="E296" s="93"/>
      <c r="F296" s="93"/>
      <c r="G296" s="92"/>
    </row>
    <row r="297" spans="3:7" ht="21" customHeight="1" x14ac:dyDescent="0.2">
      <c r="C297" s="93"/>
      <c r="D297" s="93"/>
      <c r="E297" s="93"/>
      <c r="F297" s="93"/>
      <c r="G297" s="92"/>
    </row>
    <row r="298" spans="3:7" ht="21" hidden="1" customHeight="1" x14ac:dyDescent="0.25">
      <c r="C298" s="77" t="s">
        <v>92</v>
      </c>
      <c r="D298" s="78">
        <f>D282</f>
        <v>2.5</v>
      </c>
      <c r="E298" s="77" t="s">
        <v>41</v>
      </c>
      <c r="F298" s="87"/>
      <c r="G298" s="92"/>
    </row>
    <row r="299" spans="3:7" ht="21" customHeight="1" x14ac:dyDescent="0.25">
      <c r="C299" s="77" t="s">
        <v>91</v>
      </c>
      <c r="D299" s="84">
        <f>D282*D283*D284</f>
        <v>0</v>
      </c>
      <c r="E299" s="81" t="s">
        <v>83</v>
      </c>
      <c r="F299" s="87"/>
      <c r="G299" s="92"/>
    </row>
    <row r="300" spans="3:7" ht="21" customHeight="1" x14ac:dyDescent="0.25">
      <c r="C300" s="77" t="s">
        <v>88</v>
      </c>
      <c r="D300" s="84">
        <f>D283*D282*D281*D284</f>
        <v>0</v>
      </c>
      <c r="E300" s="79" t="s">
        <v>81</v>
      </c>
      <c r="F300" s="90"/>
      <c r="G300" s="92"/>
    </row>
    <row r="301" spans="3:7" ht="21" customHeight="1" x14ac:dyDescent="0.25">
      <c r="C301" s="77" t="s">
        <v>87</v>
      </c>
      <c r="D301" s="78">
        <f>D283*D282*0.1*D284</f>
        <v>0</v>
      </c>
      <c r="E301" s="79" t="s">
        <v>81</v>
      </c>
      <c r="F301" s="90"/>
      <c r="G301" s="89"/>
    </row>
    <row r="302" spans="3:7" ht="21" customHeight="1" x14ac:dyDescent="0.25">
      <c r="C302" s="77" t="s">
        <v>86</v>
      </c>
      <c r="D302" s="78">
        <f>D283*D282*0.1*D284</f>
        <v>0</v>
      </c>
      <c r="E302" s="79" t="s">
        <v>81</v>
      </c>
      <c r="F302" s="90"/>
      <c r="G302" s="89"/>
    </row>
    <row r="303" spans="3:7" ht="36" x14ac:dyDescent="0.2">
      <c r="C303" s="83" t="s">
        <v>85</v>
      </c>
      <c r="D303" s="82">
        <f>D283*D282*D284</f>
        <v>0</v>
      </c>
      <c r="E303" s="81" t="s">
        <v>83</v>
      </c>
      <c r="F303" s="91"/>
      <c r="G303" s="89"/>
    </row>
    <row r="304" spans="3:7" ht="21" customHeight="1" x14ac:dyDescent="0.2">
      <c r="C304" s="83" t="s">
        <v>84</v>
      </c>
      <c r="D304" s="82">
        <f>D283*D282*D284</f>
        <v>0</v>
      </c>
      <c r="E304" s="81" t="s">
        <v>83</v>
      </c>
      <c r="F304" s="91"/>
      <c r="G304" s="89"/>
    </row>
    <row r="305" spans="3:7" ht="21" customHeight="1" x14ac:dyDescent="0.25">
      <c r="C305" s="77" t="s">
        <v>82</v>
      </c>
      <c r="D305" s="84">
        <f>(D300-(((3.1416*(0.2)*(0.2))/4)*D282)*D284-D301-D302)*1.3</f>
        <v>0</v>
      </c>
      <c r="E305" s="79" t="s">
        <v>81</v>
      </c>
      <c r="F305" s="90"/>
      <c r="G305" s="89"/>
    </row>
    <row r="306" spans="3:7" ht="21" hidden="1" customHeight="1" x14ac:dyDescent="0.25">
      <c r="C306" s="77" t="s">
        <v>80</v>
      </c>
      <c r="D306" s="78">
        <f>D282</f>
        <v>2.5</v>
      </c>
      <c r="E306" s="77" t="s">
        <v>76</v>
      </c>
      <c r="F306" s="87"/>
      <c r="G306" s="89"/>
    </row>
    <row r="307" spans="3:7" ht="21" hidden="1" customHeight="1" x14ac:dyDescent="0.25">
      <c r="C307" s="77" t="s">
        <v>79</v>
      </c>
      <c r="D307" s="78">
        <f>D282</f>
        <v>2.5</v>
      </c>
      <c r="E307" s="77" t="s">
        <v>76</v>
      </c>
      <c r="F307" s="87"/>
      <c r="G307" s="86"/>
    </row>
    <row r="308" spans="3:7" ht="42" customHeight="1" x14ac:dyDescent="0.25">
      <c r="C308" s="76" t="s">
        <v>75</v>
      </c>
      <c r="D308" s="82">
        <f>((D283*D282*0.05)*2.4)*D284</f>
        <v>0</v>
      </c>
      <c r="E308" s="74" t="s">
        <v>74</v>
      </c>
      <c r="F308" s="87"/>
      <c r="G308" s="86"/>
    </row>
    <row r="309" spans="3:7" ht="21" customHeight="1" x14ac:dyDescent="0.25">
      <c r="C309" s="87"/>
      <c r="D309" s="88"/>
      <c r="E309" s="87"/>
      <c r="F309" s="87"/>
      <c r="G309" s="86"/>
    </row>
    <row r="310" spans="3:7" ht="21" customHeight="1" thickBot="1" x14ac:dyDescent="0.25">
      <c r="C310" s="85"/>
      <c r="D310" s="85"/>
      <c r="E310" s="85"/>
      <c r="F310" s="85"/>
      <c r="G310" s="85"/>
    </row>
    <row r="311" spans="3:7" ht="21" customHeight="1" thickBot="1" x14ac:dyDescent="0.3">
      <c r="C311" s="284" t="s">
        <v>104</v>
      </c>
      <c r="D311" s="285"/>
      <c r="E311" s="285"/>
      <c r="F311" s="286"/>
      <c r="G311" s="85"/>
    </row>
    <row r="312" spans="3:7" ht="21" customHeight="1" x14ac:dyDescent="0.25">
      <c r="C312" s="100"/>
      <c r="D312" s="99"/>
      <c r="E312" s="99"/>
      <c r="F312" s="99"/>
      <c r="G312" s="85"/>
    </row>
    <row r="313" spans="3:7" ht="21" customHeight="1" x14ac:dyDescent="0.25">
      <c r="C313" s="87" t="s">
        <v>101</v>
      </c>
      <c r="D313" s="105">
        <v>250</v>
      </c>
      <c r="E313" s="87" t="s">
        <v>100</v>
      </c>
      <c r="F313" s="87"/>
      <c r="G313" s="85"/>
    </row>
    <row r="314" spans="3:7" ht="21" customHeight="1" x14ac:dyDescent="0.25">
      <c r="C314" s="87" t="s">
        <v>98</v>
      </c>
      <c r="D314" s="97">
        <v>1.2</v>
      </c>
      <c r="E314" s="87" t="s">
        <v>76</v>
      </c>
      <c r="F314" s="87"/>
      <c r="G314" s="85"/>
    </row>
    <row r="315" spans="3:7" ht="21" customHeight="1" x14ac:dyDescent="0.25">
      <c r="C315" s="87" t="s">
        <v>97</v>
      </c>
      <c r="D315" s="95">
        <v>2.5</v>
      </c>
      <c r="E315" s="87" t="s">
        <v>41</v>
      </c>
      <c r="F315" s="87"/>
      <c r="G315" s="85"/>
    </row>
    <row r="316" spans="3:7" ht="21" customHeight="1" x14ac:dyDescent="0.25">
      <c r="C316" s="87" t="s">
        <v>96</v>
      </c>
      <c r="D316" s="95">
        <v>1</v>
      </c>
      <c r="E316" s="87" t="s">
        <v>41</v>
      </c>
      <c r="F316" s="87"/>
      <c r="G316" s="85"/>
    </row>
    <row r="317" spans="3:7" ht="21" customHeight="1" x14ac:dyDescent="0.25">
      <c r="C317" s="87" t="s">
        <v>95</v>
      </c>
      <c r="D317" s="95">
        <v>0</v>
      </c>
      <c r="E317" s="90" t="s">
        <v>94</v>
      </c>
      <c r="F317" s="87"/>
      <c r="G317" s="85"/>
    </row>
    <row r="318" spans="3:7" ht="21" customHeight="1" x14ac:dyDescent="0.25">
      <c r="C318" s="87"/>
      <c r="D318" s="90"/>
      <c r="E318" s="90"/>
      <c r="F318" s="87"/>
      <c r="G318" s="85"/>
    </row>
    <row r="319" spans="3:7" ht="21" customHeight="1" x14ac:dyDescent="0.25">
      <c r="C319" s="87"/>
      <c r="D319" s="90"/>
      <c r="E319" s="90"/>
      <c r="F319" s="87"/>
      <c r="G319" s="85"/>
    </row>
    <row r="320" spans="3:7" ht="21" customHeight="1" x14ac:dyDescent="0.25">
      <c r="C320" s="87"/>
      <c r="D320" s="90"/>
      <c r="E320" s="90"/>
      <c r="F320" s="87"/>
      <c r="G320" s="85"/>
    </row>
    <row r="321" spans="3:7" ht="21" customHeight="1" x14ac:dyDescent="0.25">
      <c r="C321" s="87"/>
      <c r="D321" s="90"/>
      <c r="E321" s="90"/>
      <c r="F321" s="87"/>
      <c r="G321" s="85"/>
    </row>
    <row r="322" spans="3:7" ht="21" customHeight="1" x14ac:dyDescent="0.25">
      <c r="C322" s="87"/>
      <c r="D322" s="90"/>
      <c r="E322" s="90"/>
      <c r="F322" s="87"/>
      <c r="G322" s="85"/>
    </row>
    <row r="323" spans="3:7" ht="21" customHeight="1" x14ac:dyDescent="0.25">
      <c r="C323" s="87"/>
      <c r="D323" s="90"/>
      <c r="E323" s="90"/>
      <c r="F323" s="87"/>
      <c r="G323" s="85"/>
    </row>
    <row r="324" spans="3:7" ht="21" customHeight="1" x14ac:dyDescent="0.25">
      <c r="C324" s="87"/>
      <c r="D324" s="90"/>
      <c r="E324" s="90"/>
      <c r="F324" s="87"/>
      <c r="G324" s="85"/>
    </row>
    <row r="325" spans="3:7" ht="21" customHeight="1" x14ac:dyDescent="0.25">
      <c r="C325" s="87"/>
      <c r="D325" s="90"/>
      <c r="E325" s="90"/>
      <c r="F325" s="87"/>
      <c r="G325" s="85"/>
    </row>
    <row r="326" spans="3:7" ht="21" customHeight="1" x14ac:dyDescent="0.25">
      <c r="C326" s="87"/>
      <c r="D326" s="90"/>
      <c r="E326" s="90"/>
      <c r="F326" s="87"/>
      <c r="G326" s="85"/>
    </row>
    <row r="327" spans="3:7" ht="21" customHeight="1" x14ac:dyDescent="0.25">
      <c r="C327" s="87"/>
      <c r="D327" s="90"/>
      <c r="E327" s="90"/>
      <c r="F327" s="87"/>
      <c r="G327" s="85"/>
    </row>
    <row r="328" spans="3:7" ht="21" customHeight="1" x14ac:dyDescent="0.25">
      <c r="C328" s="85"/>
      <c r="D328" s="87"/>
      <c r="E328" s="87"/>
      <c r="F328" s="87"/>
      <c r="G328" s="85"/>
    </row>
    <row r="329" spans="3:7" ht="21" customHeight="1" x14ac:dyDescent="0.25">
      <c r="C329" s="85"/>
      <c r="D329" s="87"/>
      <c r="E329" s="87"/>
      <c r="F329" s="87"/>
      <c r="G329" s="85"/>
    </row>
    <row r="330" spans="3:7" ht="21" hidden="1" customHeight="1" x14ac:dyDescent="0.25">
      <c r="C330" s="77" t="s">
        <v>92</v>
      </c>
      <c r="D330" s="78">
        <f>D315</f>
        <v>2.5</v>
      </c>
      <c r="E330" s="77" t="s">
        <v>41</v>
      </c>
      <c r="F330" s="87"/>
      <c r="G330" s="85"/>
    </row>
    <row r="331" spans="3:7" ht="21" customHeight="1" x14ac:dyDescent="0.25">
      <c r="C331" s="77" t="s">
        <v>91</v>
      </c>
      <c r="D331" s="84">
        <f>D316*D315*D317</f>
        <v>0</v>
      </c>
      <c r="E331" s="81" t="s">
        <v>83</v>
      </c>
      <c r="F331" s="87"/>
      <c r="G331" s="85"/>
    </row>
    <row r="332" spans="3:7" ht="21" customHeight="1" x14ac:dyDescent="0.25">
      <c r="C332" s="77" t="s">
        <v>88</v>
      </c>
      <c r="D332" s="84">
        <f>D316*D315*D314*D317</f>
        <v>0</v>
      </c>
      <c r="E332" s="79" t="s">
        <v>81</v>
      </c>
      <c r="F332" s="90"/>
      <c r="G332" s="85"/>
    </row>
    <row r="333" spans="3:7" ht="21" customHeight="1" x14ac:dyDescent="0.25">
      <c r="C333" s="77" t="s">
        <v>87</v>
      </c>
      <c r="D333" s="78">
        <f>D316*D315*0.1*D317</f>
        <v>0</v>
      </c>
      <c r="E333" s="79" t="s">
        <v>81</v>
      </c>
      <c r="F333" s="90"/>
      <c r="G333" s="85"/>
    </row>
    <row r="334" spans="3:7" ht="21" customHeight="1" x14ac:dyDescent="0.25">
      <c r="C334" s="77" t="s">
        <v>86</v>
      </c>
      <c r="D334" s="78">
        <f>D316*D315*0.1*D317</f>
        <v>0</v>
      </c>
      <c r="E334" s="79" t="s">
        <v>81</v>
      </c>
      <c r="F334" s="90"/>
      <c r="G334" s="85"/>
    </row>
    <row r="335" spans="3:7" ht="36" x14ac:dyDescent="0.2">
      <c r="C335" s="83" t="s">
        <v>85</v>
      </c>
      <c r="D335" s="82">
        <f>D316*D315*D317</f>
        <v>0</v>
      </c>
      <c r="E335" s="81" t="s">
        <v>83</v>
      </c>
      <c r="F335" s="91"/>
      <c r="G335" s="85"/>
    </row>
    <row r="336" spans="3:7" ht="21" customHeight="1" x14ac:dyDescent="0.2">
      <c r="C336" s="83" t="s">
        <v>84</v>
      </c>
      <c r="D336" s="82">
        <f>D316*D315*D317</f>
        <v>0</v>
      </c>
      <c r="E336" s="81" t="s">
        <v>83</v>
      </c>
      <c r="F336" s="91"/>
      <c r="G336" s="85"/>
    </row>
    <row r="337" spans="3:7" ht="21" customHeight="1" x14ac:dyDescent="0.25">
      <c r="C337" s="77" t="s">
        <v>82</v>
      </c>
      <c r="D337" s="84">
        <f>(D332-(((3.1416*(0.25)*(0.25))/4)*D315)*D317-D333-D334)*1.3</f>
        <v>0</v>
      </c>
      <c r="E337" s="79" t="s">
        <v>81</v>
      </c>
      <c r="F337" s="90"/>
      <c r="G337" s="85"/>
    </row>
    <row r="338" spans="3:7" ht="21" hidden="1" customHeight="1" x14ac:dyDescent="0.25">
      <c r="C338" s="77" t="s">
        <v>78</v>
      </c>
      <c r="D338" s="78">
        <f>D315</f>
        <v>2.5</v>
      </c>
      <c r="E338" s="77" t="s">
        <v>76</v>
      </c>
      <c r="F338" s="87"/>
      <c r="G338" s="85"/>
    </row>
    <row r="339" spans="3:7" ht="21" hidden="1" customHeight="1" x14ac:dyDescent="0.25">
      <c r="C339" s="77" t="s">
        <v>77</v>
      </c>
      <c r="D339" s="78">
        <f>D315</f>
        <v>2.5</v>
      </c>
      <c r="E339" s="77" t="s">
        <v>76</v>
      </c>
      <c r="F339" s="87"/>
      <c r="G339" s="85"/>
    </row>
    <row r="340" spans="3:7" ht="42" customHeight="1" x14ac:dyDescent="0.2">
      <c r="C340" s="76" t="s">
        <v>75</v>
      </c>
      <c r="D340" s="82">
        <f>((D316*D315*0.05)*2.4)*D317</f>
        <v>0</v>
      </c>
      <c r="E340" s="74" t="s">
        <v>74</v>
      </c>
      <c r="F340" s="85"/>
      <c r="G340" s="85"/>
    </row>
    <row r="341" spans="3:7" ht="21" customHeight="1" x14ac:dyDescent="0.2">
      <c r="C341" s="85"/>
      <c r="D341" s="85"/>
      <c r="E341" s="85"/>
      <c r="F341" s="85"/>
      <c r="G341" s="85"/>
    </row>
    <row r="342" spans="3:7" ht="21" customHeight="1" x14ac:dyDescent="0.2"/>
    <row r="343" spans="3:7" ht="21" customHeight="1" thickBot="1" x14ac:dyDescent="0.25">
      <c r="C343" s="85"/>
      <c r="D343" s="85"/>
      <c r="E343" s="85"/>
      <c r="F343" s="85"/>
      <c r="G343" s="85"/>
    </row>
    <row r="344" spans="3:7" ht="41.25" customHeight="1" thickBot="1" x14ac:dyDescent="0.25">
      <c r="C344" s="287" t="s">
        <v>410</v>
      </c>
      <c r="D344" s="288"/>
      <c r="E344" s="288"/>
      <c r="F344" s="289"/>
      <c r="G344" s="85"/>
    </row>
    <row r="345" spans="3:7" ht="21" customHeight="1" x14ac:dyDescent="0.2">
      <c r="C345" s="85"/>
      <c r="D345" s="85"/>
      <c r="E345" s="85"/>
      <c r="F345" s="85"/>
      <c r="G345" s="85"/>
    </row>
    <row r="346" spans="3:7" ht="21" customHeight="1" thickBot="1" x14ac:dyDescent="0.25">
      <c r="C346" s="85"/>
      <c r="D346" s="85"/>
      <c r="E346" s="85"/>
      <c r="F346" s="85"/>
      <c r="G346" s="85"/>
    </row>
    <row r="347" spans="3:7" ht="21" customHeight="1" thickBot="1" x14ac:dyDescent="0.3">
      <c r="C347" s="284" t="s">
        <v>102</v>
      </c>
      <c r="D347" s="285"/>
      <c r="E347" s="285"/>
      <c r="F347" s="286"/>
      <c r="G347" s="101"/>
    </row>
    <row r="348" spans="3:7" ht="21" customHeight="1" x14ac:dyDescent="0.25">
      <c r="C348" s="100"/>
      <c r="D348" s="99"/>
      <c r="E348" s="99"/>
      <c r="F348" s="99"/>
      <c r="G348" s="98"/>
    </row>
    <row r="349" spans="3:7" ht="21" customHeight="1" x14ac:dyDescent="0.25">
      <c r="C349" s="87" t="s">
        <v>101</v>
      </c>
      <c r="D349" s="105">
        <v>63</v>
      </c>
      <c r="E349" s="87" t="s">
        <v>100</v>
      </c>
      <c r="F349" s="87"/>
      <c r="G349" s="101"/>
    </row>
    <row r="350" spans="3:7" ht="21" customHeight="1" x14ac:dyDescent="0.25">
      <c r="C350" s="87" t="s">
        <v>98</v>
      </c>
      <c r="D350" s="97">
        <v>1.2</v>
      </c>
      <c r="E350" s="87" t="s">
        <v>76</v>
      </c>
      <c r="F350" s="87"/>
      <c r="G350" s="96"/>
    </row>
    <row r="351" spans="3:7" ht="21" customHeight="1" x14ac:dyDescent="0.25">
      <c r="C351" s="87" t="s">
        <v>97</v>
      </c>
      <c r="D351" s="95">
        <v>1.5</v>
      </c>
      <c r="E351" s="87" t="s">
        <v>41</v>
      </c>
      <c r="F351" s="87"/>
      <c r="G351" s="94"/>
    </row>
    <row r="352" spans="3:7" ht="21" customHeight="1" x14ac:dyDescent="0.25">
      <c r="C352" s="87" t="s">
        <v>96</v>
      </c>
      <c r="D352" s="95">
        <v>0.9</v>
      </c>
      <c r="E352" s="87" t="s">
        <v>41</v>
      </c>
      <c r="F352" s="87"/>
      <c r="G352" s="94"/>
    </row>
    <row r="353" spans="3:7" ht="21" customHeight="1" x14ac:dyDescent="0.25">
      <c r="C353" s="87" t="s">
        <v>95</v>
      </c>
      <c r="D353" s="95">
        <v>667</v>
      </c>
      <c r="E353" s="90" t="s">
        <v>94</v>
      </c>
      <c r="F353" s="87"/>
      <c r="G353" s="94"/>
    </row>
    <row r="354" spans="3:7" ht="21" customHeight="1" x14ac:dyDescent="0.25">
      <c r="C354" s="87"/>
      <c r="D354" s="90"/>
      <c r="E354" s="90"/>
      <c r="F354" s="87"/>
      <c r="G354" s="94"/>
    </row>
    <row r="355" spans="3:7" ht="21" customHeight="1" x14ac:dyDescent="0.25">
      <c r="C355" s="87"/>
      <c r="D355" s="90"/>
      <c r="E355" s="90"/>
      <c r="F355" s="87"/>
      <c r="G355" s="94"/>
    </row>
    <row r="356" spans="3:7" ht="21" customHeight="1" x14ac:dyDescent="0.25">
      <c r="C356" s="87"/>
      <c r="D356" s="90"/>
      <c r="E356" s="90"/>
      <c r="F356" s="87"/>
      <c r="G356" s="94"/>
    </row>
    <row r="357" spans="3:7" ht="21" customHeight="1" x14ac:dyDescent="0.25">
      <c r="C357" s="87"/>
      <c r="D357" s="90"/>
      <c r="E357" s="90"/>
      <c r="F357" s="87"/>
      <c r="G357" s="94"/>
    </row>
    <row r="358" spans="3:7" ht="21" customHeight="1" x14ac:dyDescent="0.25">
      <c r="C358" s="87"/>
      <c r="D358" s="90"/>
      <c r="E358" s="90"/>
      <c r="F358" s="87"/>
      <c r="G358" s="94" t="s">
        <v>103</v>
      </c>
    </row>
    <row r="359" spans="3:7" ht="21" customHeight="1" x14ac:dyDescent="0.25">
      <c r="C359" s="87"/>
      <c r="D359" s="90"/>
      <c r="E359" s="90"/>
      <c r="F359" s="87"/>
      <c r="G359" s="94"/>
    </row>
    <row r="360" spans="3:7" ht="21" customHeight="1" x14ac:dyDescent="0.25">
      <c r="C360" s="87"/>
      <c r="D360" s="90"/>
      <c r="E360" s="90"/>
      <c r="F360" s="87"/>
      <c r="G360" s="94"/>
    </row>
    <row r="361" spans="3:7" ht="21" customHeight="1" x14ac:dyDescent="0.25">
      <c r="C361" s="87"/>
      <c r="D361" s="90"/>
      <c r="E361" s="90"/>
      <c r="F361" s="87"/>
      <c r="G361" s="94"/>
    </row>
    <row r="362" spans="3:7" ht="21" customHeight="1" x14ac:dyDescent="0.25">
      <c r="C362" s="87"/>
      <c r="D362" s="90"/>
      <c r="E362" s="90"/>
      <c r="F362" s="87"/>
      <c r="G362" s="94"/>
    </row>
    <row r="363" spans="3:7" ht="21" customHeight="1" x14ac:dyDescent="0.25">
      <c r="C363" s="87"/>
      <c r="D363" s="90"/>
      <c r="E363" s="90"/>
      <c r="F363" s="87"/>
      <c r="G363" s="94"/>
    </row>
    <row r="364" spans="3:7" ht="21" customHeight="1" x14ac:dyDescent="0.25">
      <c r="C364" s="85"/>
      <c r="D364" s="87"/>
      <c r="E364" s="87"/>
      <c r="F364" s="87"/>
      <c r="G364" s="94"/>
    </row>
    <row r="365" spans="3:7" ht="21" customHeight="1" x14ac:dyDescent="0.25">
      <c r="C365" s="85"/>
      <c r="D365" s="87"/>
      <c r="E365" s="87"/>
      <c r="F365" s="87"/>
      <c r="G365" s="94"/>
    </row>
    <row r="366" spans="3:7" ht="21" customHeight="1" x14ac:dyDescent="0.2">
      <c r="C366" s="93"/>
      <c r="D366" s="93"/>
      <c r="E366" s="93"/>
      <c r="F366" s="93"/>
      <c r="G366" s="92"/>
    </row>
    <row r="367" spans="3:7" ht="21" hidden="1" customHeight="1" x14ac:dyDescent="0.25">
      <c r="C367" s="77" t="s">
        <v>92</v>
      </c>
      <c r="D367" s="78">
        <f>D351</f>
        <v>1.5</v>
      </c>
      <c r="E367" s="77" t="s">
        <v>41</v>
      </c>
      <c r="F367" s="87"/>
      <c r="G367" s="92"/>
    </row>
    <row r="368" spans="3:7" ht="21" customHeight="1" x14ac:dyDescent="0.25">
      <c r="C368" s="77" t="s">
        <v>91</v>
      </c>
      <c r="D368" s="84">
        <f>D351*D352*D353</f>
        <v>900.45</v>
      </c>
      <c r="E368" s="81" t="s">
        <v>83</v>
      </c>
      <c r="F368" s="87"/>
      <c r="G368" s="92"/>
    </row>
    <row r="369" spans="3:7" ht="21" customHeight="1" x14ac:dyDescent="0.25">
      <c r="C369" s="77" t="s">
        <v>88</v>
      </c>
      <c r="D369" s="84">
        <f>D352*D351*D350*D353</f>
        <v>1080.54</v>
      </c>
      <c r="E369" s="79" t="s">
        <v>81</v>
      </c>
      <c r="F369" s="90"/>
      <c r="G369" s="92"/>
    </row>
    <row r="370" spans="3:7" ht="21" customHeight="1" x14ac:dyDescent="0.25">
      <c r="C370" s="77" t="s">
        <v>87</v>
      </c>
      <c r="D370" s="78">
        <f>D352*D351*0.1*D353</f>
        <v>90.045000000000002</v>
      </c>
      <c r="E370" s="79" t="s">
        <v>81</v>
      </c>
      <c r="F370" s="90"/>
      <c r="G370" s="89"/>
    </row>
    <row r="371" spans="3:7" ht="21" customHeight="1" x14ac:dyDescent="0.25">
      <c r="C371" s="77" t="s">
        <v>86</v>
      </c>
      <c r="D371" s="78">
        <f>D352*D351*0.1*D353</f>
        <v>90.045000000000002</v>
      </c>
      <c r="E371" s="79" t="s">
        <v>81</v>
      </c>
      <c r="F371" s="90"/>
      <c r="G371" s="89"/>
    </row>
    <row r="372" spans="3:7" ht="36" x14ac:dyDescent="0.2">
      <c r="C372" s="83" t="s">
        <v>85</v>
      </c>
      <c r="D372" s="82">
        <f>D352*D351*D353</f>
        <v>900.45</v>
      </c>
      <c r="E372" s="81" t="s">
        <v>83</v>
      </c>
      <c r="F372" s="91"/>
      <c r="G372" s="89"/>
    </row>
    <row r="373" spans="3:7" ht="21" customHeight="1" x14ac:dyDescent="0.2">
      <c r="C373" s="83" t="s">
        <v>84</v>
      </c>
      <c r="D373" s="82">
        <f>D352*D351*D353</f>
        <v>900.45</v>
      </c>
      <c r="E373" s="81" t="s">
        <v>83</v>
      </c>
      <c r="F373" s="91"/>
      <c r="G373" s="89"/>
    </row>
    <row r="374" spans="3:7" ht="21" customHeight="1" x14ac:dyDescent="0.25">
      <c r="C374" s="77" t="s">
        <v>82</v>
      </c>
      <c r="D374" s="84">
        <f>(D369-(((3.1416*(0.063)*(0.063))/4)*D351)*D353-D370-D371)*1.3</f>
        <v>1166.53054540581</v>
      </c>
      <c r="E374" s="79" t="s">
        <v>81</v>
      </c>
      <c r="F374" s="90"/>
      <c r="G374" s="89"/>
    </row>
    <row r="375" spans="3:7" ht="21" hidden="1" customHeight="1" x14ac:dyDescent="0.25">
      <c r="C375" s="77" t="s">
        <v>80</v>
      </c>
      <c r="D375" s="78">
        <f>D351</f>
        <v>1.5</v>
      </c>
      <c r="E375" s="77" t="s">
        <v>76</v>
      </c>
      <c r="F375" s="87"/>
      <c r="G375" s="89"/>
    </row>
    <row r="376" spans="3:7" ht="21" hidden="1" customHeight="1" x14ac:dyDescent="0.25">
      <c r="C376" s="77" t="s">
        <v>79</v>
      </c>
      <c r="D376" s="78">
        <f>D351</f>
        <v>1.5</v>
      </c>
      <c r="E376" s="77" t="s">
        <v>76</v>
      </c>
      <c r="F376" s="87"/>
      <c r="G376" s="86"/>
    </row>
    <row r="377" spans="3:7" ht="54" x14ac:dyDescent="0.25">
      <c r="C377" s="76" t="s">
        <v>75</v>
      </c>
      <c r="D377" s="82">
        <f>((D352*D351*0.05)*2.4)*D353</f>
        <v>108.054</v>
      </c>
      <c r="E377" s="74" t="s">
        <v>74</v>
      </c>
      <c r="F377" s="87"/>
      <c r="G377" s="86"/>
    </row>
    <row r="378" spans="3:7" ht="21" customHeight="1" x14ac:dyDescent="0.25">
      <c r="C378" s="87"/>
      <c r="D378" s="88"/>
      <c r="E378" s="87"/>
      <c r="F378" s="87"/>
      <c r="G378" s="86"/>
    </row>
    <row r="379" spans="3:7" ht="21" customHeight="1" thickBot="1" x14ac:dyDescent="0.25">
      <c r="C379" s="85"/>
      <c r="D379" s="85"/>
      <c r="E379" s="85"/>
      <c r="F379" s="85"/>
      <c r="G379" s="85"/>
    </row>
    <row r="380" spans="3:7" ht="21" customHeight="1" thickBot="1" x14ac:dyDescent="0.3">
      <c r="C380" s="284" t="s">
        <v>102</v>
      </c>
      <c r="D380" s="285"/>
      <c r="E380" s="285"/>
      <c r="F380" s="286"/>
      <c r="G380" s="85"/>
    </row>
    <row r="381" spans="3:7" ht="21" customHeight="1" x14ac:dyDescent="0.25">
      <c r="C381" s="100"/>
      <c r="D381" s="99"/>
      <c r="E381" s="99"/>
      <c r="F381" s="99"/>
      <c r="G381" s="85"/>
    </row>
    <row r="382" spans="3:7" ht="21" customHeight="1" x14ac:dyDescent="0.25">
      <c r="C382" s="87" t="s">
        <v>101</v>
      </c>
      <c r="D382" s="105">
        <v>110</v>
      </c>
      <c r="E382" s="87" t="s">
        <v>100</v>
      </c>
      <c r="F382" s="87"/>
      <c r="G382" s="85"/>
    </row>
    <row r="383" spans="3:7" ht="21" customHeight="1" x14ac:dyDescent="0.25">
      <c r="C383" s="87" t="s">
        <v>98</v>
      </c>
      <c r="D383" s="97">
        <v>1.2</v>
      </c>
      <c r="E383" s="87" t="s">
        <v>76</v>
      </c>
      <c r="F383" s="87"/>
      <c r="G383" s="85"/>
    </row>
    <row r="384" spans="3:7" ht="21" customHeight="1" x14ac:dyDescent="0.25">
      <c r="C384" s="87" t="s">
        <v>97</v>
      </c>
      <c r="D384" s="95">
        <v>1.5</v>
      </c>
      <c r="E384" s="87" t="s">
        <v>41</v>
      </c>
      <c r="F384" s="87"/>
      <c r="G384" s="85"/>
    </row>
    <row r="385" spans="3:7" ht="21" customHeight="1" x14ac:dyDescent="0.25">
      <c r="C385" s="87" t="s">
        <v>96</v>
      </c>
      <c r="D385" s="95">
        <v>0.9</v>
      </c>
      <c r="E385" s="87" t="s">
        <v>41</v>
      </c>
      <c r="F385" s="87"/>
      <c r="G385" s="85"/>
    </row>
    <row r="386" spans="3:7" ht="21" customHeight="1" x14ac:dyDescent="0.25">
      <c r="C386" s="87" t="s">
        <v>95</v>
      </c>
      <c r="D386" s="95">
        <v>42</v>
      </c>
      <c r="E386" s="90" t="s">
        <v>94</v>
      </c>
      <c r="F386" s="87"/>
      <c r="G386" s="85"/>
    </row>
    <row r="387" spans="3:7" ht="21" customHeight="1" x14ac:dyDescent="0.25">
      <c r="C387" s="87"/>
      <c r="D387" s="90"/>
      <c r="E387" s="90"/>
      <c r="F387" s="87"/>
      <c r="G387" s="85"/>
    </row>
    <row r="388" spans="3:7" ht="21" customHeight="1" x14ac:dyDescent="0.25">
      <c r="C388" s="87"/>
      <c r="D388" s="90"/>
      <c r="E388" s="90"/>
      <c r="F388" s="87"/>
      <c r="G388" s="85"/>
    </row>
    <row r="389" spans="3:7" ht="21" customHeight="1" x14ac:dyDescent="0.25">
      <c r="C389" s="87"/>
      <c r="D389" s="90"/>
      <c r="E389" s="90"/>
      <c r="F389" s="87"/>
      <c r="G389" s="85"/>
    </row>
    <row r="390" spans="3:7" ht="21" customHeight="1" x14ac:dyDescent="0.25">
      <c r="C390" s="87"/>
      <c r="D390" s="90"/>
      <c r="E390" s="90"/>
      <c r="F390" s="87"/>
      <c r="G390" s="85"/>
    </row>
    <row r="391" spans="3:7" ht="21" customHeight="1" x14ac:dyDescent="0.25">
      <c r="C391" s="87"/>
      <c r="D391" s="90"/>
      <c r="E391" s="90"/>
      <c r="F391" s="87"/>
      <c r="G391" s="85"/>
    </row>
    <row r="392" spans="3:7" ht="21" customHeight="1" x14ac:dyDescent="0.25">
      <c r="C392" s="87"/>
      <c r="D392" s="90"/>
      <c r="E392" s="90"/>
      <c r="F392" s="87"/>
      <c r="G392" s="85"/>
    </row>
    <row r="393" spans="3:7" ht="21" customHeight="1" x14ac:dyDescent="0.25">
      <c r="C393" s="87"/>
      <c r="D393" s="90"/>
      <c r="E393" s="90"/>
      <c r="F393" s="87"/>
      <c r="G393" s="85"/>
    </row>
    <row r="394" spans="3:7" ht="21" customHeight="1" x14ac:dyDescent="0.25">
      <c r="C394" s="87"/>
      <c r="D394" s="90"/>
      <c r="E394" s="90"/>
      <c r="F394" s="87"/>
      <c r="G394" s="85"/>
    </row>
    <row r="395" spans="3:7" ht="21" customHeight="1" x14ac:dyDescent="0.25">
      <c r="C395" s="87"/>
      <c r="D395" s="90"/>
      <c r="E395" s="90"/>
      <c r="F395" s="87"/>
      <c r="G395" s="85"/>
    </row>
    <row r="396" spans="3:7" ht="21" customHeight="1" x14ac:dyDescent="0.25">
      <c r="C396" s="87"/>
      <c r="D396" s="90"/>
      <c r="E396" s="90"/>
      <c r="F396" s="87"/>
      <c r="G396" s="85"/>
    </row>
    <row r="397" spans="3:7" ht="21" customHeight="1" x14ac:dyDescent="0.25">
      <c r="C397" s="85"/>
      <c r="D397" s="87"/>
      <c r="E397" s="87"/>
      <c r="F397" s="87"/>
      <c r="G397" s="85"/>
    </row>
    <row r="398" spans="3:7" ht="21" customHeight="1" x14ac:dyDescent="0.2">
      <c r="C398" s="93"/>
      <c r="D398" s="93"/>
      <c r="E398" s="93"/>
      <c r="F398" s="93"/>
      <c r="G398" s="85"/>
    </row>
    <row r="399" spans="3:7" ht="21" hidden="1" customHeight="1" x14ac:dyDescent="0.25">
      <c r="C399" s="77" t="s">
        <v>92</v>
      </c>
      <c r="D399" s="78">
        <f>D384</f>
        <v>1.5</v>
      </c>
      <c r="E399" s="77" t="s">
        <v>41</v>
      </c>
      <c r="F399" s="87"/>
      <c r="G399" s="85"/>
    </row>
    <row r="400" spans="3:7" ht="21" customHeight="1" x14ac:dyDescent="0.25">
      <c r="C400" s="77" t="s">
        <v>91</v>
      </c>
      <c r="D400" s="84">
        <f>D384*D385*D386</f>
        <v>56.7</v>
      </c>
      <c r="E400" s="81" t="s">
        <v>83</v>
      </c>
      <c r="F400" s="87"/>
      <c r="G400" s="85"/>
    </row>
    <row r="401" spans="2:7" ht="21" customHeight="1" x14ac:dyDescent="0.25">
      <c r="C401" s="77" t="s">
        <v>88</v>
      </c>
      <c r="D401" s="84">
        <f>D385*D384*D383*D386</f>
        <v>68.040000000000006</v>
      </c>
      <c r="E401" s="79" t="s">
        <v>81</v>
      </c>
      <c r="F401" s="90"/>
      <c r="G401" s="85"/>
    </row>
    <row r="402" spans="2:7" ht="21" customHeight="1" x14ac:dyDescent="0.25">
      <c r="C402" s="77" t="s">
        <v>87</v>
      </c>
      <c r="D402" s="78">
        <f>D385*D384*D386*0.1</f>
        <v>5.6700000000000008</v>
      </c>
      <c r="E402" s="79" t="s">
        <v>81</v>
      </c>
      <c r="F402" s="90"/>
      <c r="G402" s="85"/>
    </row>
    <row r="403" spans="2:7" ht="21" customHeight="1" x14ac:dyDescent="0.25">
      <c r="C403" s="77" t="s">
        <v>86</v>
      </c>
      <c r="D403" s="78">
        <f>D385*D384*D386*0.1</f>
        <v>5.6700000000000008</v>
      </c>
      <c r="E403" s="79" t="s">
        <v>81</v>
      </c>
      <c r="F403" s="90"/>
      <c r="G403" s="85"/>
    </row>
    <row r="404" spans="2:7" ht="36" x14ac:dyDescent="0.2">
      <c r="C404" s="83" t="s">
        <v>85</v>
      </c>
      <c r="D404" s="82">
        <f>D385*D384*D386</f>
        <v>56.7</v>
      </c>
      <c r="E404" s="81" t="s">
        <v>83</v>
      </c>
      <c r="F404" s="91"/>
      <c r="G404" s="85"/>
    </row>
    <row r="405" spans="2:7" ht="21" customHeight="1" x14ac:dyDescent="0.2">
      <c r="C405" s="83" t="s">
        <v>84</v>
      </c>
      <c r="D405" s="82">
        <f>D385*D384*D386</f>
        <v>56.7</v>
      </c>
      <c r="E405" s="81" t="s">
        <v>83</v>
      </c>
      <c r="F405" s="91"/>
      <c r="G405" s="85"/>
    </row>
    <row r="406" spans="2:7" ht="21" customHeight="1" x14ac:dyDescent="0.25">
      <c r="C406" s="77" t="s">
        <v>82</v>
      </c>
      <c r="D406" s="84">
        <f>(D401-(((3.1416*(0.11)*(0.11))/4)*D384)*D386-D402-D403)*1.3</f>
        <v>72.931676453999998</v>
      </c>
      <c r="E406" s="79" t="s">
        <v>81</v>
      </c>
      <c r="F406" s="90"/>
      <c r="G406" s="85"/>
    </row>
    <row r="407" spans="2:7" ht="21" hidden="1" customHeight="1" x14ac:dyDescent="0.25">
      <c r="C407" s="77" t="s">
        <v>80</v>
      </c>
      <c r="D407" s="78">
        <f>D384</f>
        <v>1.5</v>
      </c>
      <c r="E407" s="77" t="s">
        <v>76</v>
      </c>
      <c r="F407" s="87"/>
      <c r="G407" s="85"/>
    </row>
    <row r="408" spans="2:7" ht="21" hidden="1" customHeight="1" x14ac:dyDescent="0.25">
      <c r="C408" s="77" t="s">
        <v>79</v>
      </c>
      <c r="D408" s="78">
        <f>D384</f>
        <v>1.5</v>
      </c>
      <c r="E408" s="77" t="s">
        <v>76</v>
      </c>
      <c r="F408" s="87"/>
      <c r="G408" s="85"/>
    </row>
    <row r="409" spans="2:7" ht="54" x14ac:dyDescent="0.2">
      <c r="B409" s="107"/>
      <c r="C409" s="76" t="s">
        <v>75</v>
      </c>
      <c r="D409" s="75">
        <f>((D385*D384*0.05)*2.4)*D386</f>
        <v>6.8040000000000003</v>
      </c>
      <c r="E409" s="74" t="s">
        <v>74</v>
      </c>
      <c r="F409" s="106"/>
      <c r="G409" s="106"/>
    </row>
    <row r="410" spans="2:7" ht="21" customHeight="1" x14ac:dyDescent="0.2">
      <c r="C410" s="85"/>
      <c r="D410" s="85"/>
      <c r="E410" s="85"/>
      <c r="F410" s="85"/>
      <c r="G410" s="85"/>
    </row>
    <row r="411" spans="2:7" ht="21" customHeight="1" thickBot="1" x14ac:dyDescent="0.25">
      <c r="C411" s="85"/>
      <c r="D411" s="85"/>
      <c r="E411" s="85"/>
      <c r="F411" s="85"/>
      <c r="G411" s="85"/>
    </row>
    <row r="412" spans="2:7" ht="41.25" customHeight="1" thickBot="1" x14ac:dyDescent="0.25">
      <c r="C412" s="287" t="s">
        <v>410</v>
      </c>
      <c r="D412" s="288"/>
      <c r="E412" s="288"/>
      <c r="F412" s="289"/>
      <c r="G412" s="85"/>
    </row>
    <row r="413" spans="2:7" ht="21" customHeight="1" x14ac:dyDescent="0.2">
      <c r="C413" s="85"/>
      <c r="D413" s="85"/>
      <c r="E413" s="85"/>
      <c r="F413" s="85"/>
      <c r="G413" s="85"/>
    </row>
    <row r="414" spans="2:7" ht="21" customHeight="1" thickBot="1" x14ac:dyDescent="0.25">
      <c r="C414" s="85"/>
      <c r="D414" s="85"/>
      <c r="E414" s="85"/>
      <c r="F414" s="85"/>
      <c r="G414" s="85"/>
    </row>
    <row r="415" spans="2:7" ht="21" customHeight="1" thickBot="1" x14ac:dyDescent="0.3">
      <c r="C415" s="102" t="s">
        <v>102</v>
      </c>
      <c r="D415" s="110"/>
      <c r="E415" s="110"/>
      <c r="F415" s="109"/>
      <c r="G415" s="101"/>
    </row>
    <row r="416" spans="2:7" ht="21" customHeight="1" x14ac:dyDescent="0.25">
      <c r="C416" s="100"/>
      <c r="D416" s="99"/>
      <c r="E416" s="99"/>
      <c r="F416" s="99"/>
      <c r="G416" s="98"/>
    </row>
    <row r="417" spans="3:7" ht="21" customHeight="1" x14ac:dyDescent="0.25">
      <c r="C417" s="87" t="s">
        <v>101</v>
      </c>
      <c r="D417" s="105">
        <v>160</v>
      </c>
      <c r="E417" s="87" t="s">
        <v>100</v>
      </c>
      <c r="F417" s="87"/>
      <c r="G417" s="101"/>
    </row>
    <row r="418" spans="3:7" ht="21" customHeight="1" x14ac:dyDescent="0.25">
      <c r="C418" s="87" t="s">
        <v>98</v>
      </c>
      <c r="D418" s="97">
        <v>1.2</v>
      </c>
      <c r="E418" s="87" t="s">
        <v>76</v>
      </c>
      <c r="F418" s="87"/>
      <c r="G418" s="96"/>
    </row>
    <row r="419" spans="3:7" ht="21" customHeight="1" x14ac:dyDescent="0.25">
      <c r="C419" s="87" t="s">
        <v>97</v>
      </c>
      <c r="D419" s="95">
        <v>1.5</v>
      </c>
      <c r="E419" s="87" t="s">
        <v>41</v>
      </c>
      <c r="F419" s="87"/>
      <c r="G419" s="94"/>
    </row>
    <row r="420" spans="3:7" ht="21" customHeight="1" x14ac:dyDescent="0.25">
      <c r="C420" s="87" t="s">
        <v>96</v>
      </c>
      <c r="D420" s="95">
        <v>0.9</v>
      </c>
      <c r="E420" s="87" t="s">
        <v>41</v>
      </c>
      <c r="F420" s="87"/>
      <c r="G420" s="94"/>
    </row>
    <row r="421" spans="3:7" ht="21" customHeight="1" x14ac:dyDescent="0.25">
      <c r="C421" s="87" t="s">
        <v>95</v>
      </c>
      <c r="D421" s="95">
        <v>26</v>
      </c>
      <c r="E421" s="90" t="s">
        <v>94</v>
      </c>
      <c r="F421" s="87"/>
      <c r="G421" s="94"/>
    </row>
    <row r="422" spans="3:7" ht="21" customHeight="1" x14ac:dyDescent="0.25">
      <c r="C422" s="87"/>
      <c r="D422" s="90"/>
      <c r="E422" s="90"/>
      <c r="F422" s="87"/>
      <c r="G422" s="94"/>
    </row>
    <row r="423" spans="3:7" ht="21" customHeight="1" x14ac:dyDescent="0.25">
      <c r="C423" s="87"/>
      <c r="D423" s="90"/>
      <c r="E423" s="90"/>
      <c r="F423" s="87"/>
      <c r="G423" s="94"/>
    </row>
    <row r="424" spans="3:7" ht="21" customHeight="1" x14ac:dyDescent="0.25">
      <c r="C424" s="87"/>
      <c r="D424" s="90"/>
      <c r="E424" s="90"/>
      <c r="F424" s="87"/>
      <c r="G424" s="94"/>
    </row>
    <row r="425" spans="3:7" ht="21" customHeight="1" x14ac:dyDescent="0.25">
      <c r="C425" s="87"/>
      <c r="D425" s="90"/>
      <c r="E425" s="90"/>
      <c r="F425" s="87"/>
      <c r="G425" s="94"/>
    </row>
    <row r="426" spans="3:7" ht="21" customHeight="1" x14ac:dyDescent="0.25">
      <c r="C426" s="87"/>
      <c r="D426" s="90"/>
      <c r="E426" s="90"/>
      <c r="F426" s="87"/>
      <c r="G426" s="94"/>
    </row>
    <row r="427" spans="3:7" ht="21" customHeight="1" x14ac:dyDescent="0.25">
      <c r="C427" s="87"/>
      <c r="D427" s="90"/>
      <c r="E427" s="90"/>
      <c r="F427" s="87"/>
      <c r="G427" s="94"/>
    </row>
    <row r="428" spans="3:7" ht="21" customHeight="1" x14ac:dyDescent="0.25">
      <c r="C428" s="87"/>
      <c r="D428" s="90"/>
      <c r="E428" s="90"/>
      <c r="F428" s="87"/>
      <c r="G428" s="94"/>
    </row>
    <row r="429" spans="3:7" ht="21" customHeight="1" x14ac:dyDescent="0.25">
      <c r="C429" s="87"/>
      <c r="D429" s="90"/>
      <c r="E429" s="90"/>
      <c r="F429" s="87"/>
      <c r="G429" s="94"/>
    </row>
    <row r="430" spans="3:7" ht="21" customHeight="1" x14ac:dyDescent="0.25">
      <c r="C430" s="87"/>
      <c r="D430" s="90"/>
      <c r="E430" s="90"/>
      <c r="F430" s="87"/>
      <c r="G430" s="94"/>
    </row>
    <row r="431" spans="3:7" ht="21" customHeight="1" x14ac:dyDescent="0.25">
      <c r="C431" s="87"/>
      <c r="D431" s="90"/>
      <c r="E431" s="90"/>
      <c r="F431" s="87"/>
      <c r="G431" s="94"/>
    </row>
    <row r="432" spans="3:7" ht="21" customHeight="1" x14ac:dyDescent="0.25">
      <c r="C432" s="85"/>
      <c r="D432" s="87"/>
      <c r="E432" s="87"/>
      <c r="F432" s="87"/>
      <c r="G432" s="94"/>
    </row>
    <row r="433" spans="3:7" ht="21" customHeight="1" x14ac:dyDescent="0.25">
      <c r="C433" s="85"/>
      <c r="D433" s="87"/>
      <c r="E433" s="87"/>
      <c r="F433" s="87"/>
      <c r="G433" s="94"/>
    </row>
    <row r="434" spans="3:7" ht="21" customHeight="1" x14ac:dyDescent="0.25">
      <c r="C434" s="93"/>
      <c r="D434" s="93"/>
      <c r="E434" s="93"/>
      <c r="F434" s="87"/>
      <c r="G434" s="92"/>
    </row>
    <row r="435" spans="3:7" ht="21" hidden="1" customHeight="1" x14ac:dyDescent="0.25">
      <c r="C435" s="77" t="s">
        <v>92</v>
      </c>
      <c r="D435" s="78">
        <f>D419</f>
        <v>1.5</v>
      </c>
      <c r="E435" s="77" t="s">
        <v>41</v>
      </c>
      <c r="F435" s="87"/>
      <c r="G435" s="92"/>
    </row>
    <row r="436" spans="3:7" ht="21" customHeight="1" x14ac:dyDescent="0.25">
      <c r="C436" s="77" t="s">
        <v>91</v>
      </c>
      <c r="D436" s="84">
        <f>D419*D420*D421</f>
        <v>35.1</v>
      </c>
      <c r="E436" s="81" t="s">
        <v>83</v>
      </c>
      <c r="F436" s="87"/>
      <c r="G436" s="92"/>
    </row>
    <row r="437" spans="3:7" ht="21" customHeight="1" x14ac:dyDescent="0.25">
      <c r="C437" s="77" t="s">
        <v>88</v>
      </c>
      <c r="D437" s="84">
        <f>D420*D419*D418*D421</f>
        <v>42.120000000000005</v>
      </c>
      <c r="E437" s="79" t="s">
        <v>81</v>
      </c>
      <c r="F437" s="87"/>
      <c r="G437" s="92"/>
    </row>
    <row r="438" spans="3:7" ht="21" customHeight="1" x14ac:dyDescent="0.25">
      <c r="C438" s="77" t="s">
        <v>87</v>
      </c>
      <c r="D438" s="78">
        <f>D420*D419*D421*0.1</f>
        <v>3.5100000000000002</v>
      </c>
      <c r="E438" s="79" t="s">
        <v>81</v>
      </c>
      <c r="F438" s="87"/>
      <c r="G438" s="89"/>
    </row>
    <row r="439" spans="3:7" ht="21" customHeight="1" x14ac:dyDescent="0.25">
      <c r="C439" s="77" t="s">
        <v>86</v>
      </c>
      <c r="D439" s="78">
        <f>D420*D419*D421*0.1</f>
        <v>3.5100000000000002</v>
      </c>
      <c r="E439" s="79" t="s">
        <v>81</v>
      </c>
      <c r="F439" s="87"/>
      <c r="G439" s="89"/>
    </row>
    <row r="440" spans="3:7" ht="36" x14ac:dyDescent="0.25">
      <c r="C440" s="83" t="s">
        <v>85</v>
      </c>
      <c r="D440" s="82">
        <f>D420*D419*D421</f>
        <v>35.1</v>
      </c>
      <c r="E440" s="81" t="s">
        <v>83</v>
      </c>
      <c r="F440" s="87"/>
      <c r="G440" s="89"/>
    </row>
    <row r="441" spans="3:7" ht="21" customHeight="1" x14ac:dyDescent="0.25">
      <c r="C441" s="83" t="s">
        <v>84</v>
      </c>
      <c r="D441" s="82">
        <f>D420*D419*D421</f>
        <v>35.1</v>
      </c>
      <c r="E441" s="81" t="s">
        <v>83</v>
      </c>
      <c r="F441" s="87"/>
      <c r="G441" s="89"/>
    </row>
    <row r="442" spans="3:7" ht="21" customHeight="1" x14ac:dyDescent="0.25">
      <c r="C442" s="77" t="s">
        <v>82</v>
      </c>
      <c r="D442" s="84">
        <f>(D437-(((3.1416*(0.16)*(0.16))/4)*D419)*D421-D438-D439)*1.3</f>
        <v>44.61061363200001</v>
      </c>
      <c r="E442" s="79" t="s">
        <v>81</v>
      </c>
      <c r="F442" s="87"/>
      <c r="G442" s="89"/>
    </row>
    <row r="443" spans="3:7" ht="21" hidden="1" customHeight="1" x14ac:dyDescent="0.25">
      <c r="C443" s="77" t="s">
        <v>80</v>
      </c>
      <c r="D443" s="78">
        <f>D419</f>
        <v>1.5</v>
      </c>
      <c r="E443" s="77" t="s">
        <v>76</v>
      </c>
      <c r="F443" s="87"/>
      <c r="G443" s="89"/>
    </row>
    <row r="444" spans="3:7" ht="21" hidden="1" customHeight="1" x14ac:dyDescent="0.25">
      <c r="C444" s="77" t="s">
        <v>79</v>
      </c>
      <c r="D444" s="78">
        <f>D419</f>
        <v>1.5</v>
      </c>
      <c r="E444" s="77" t="s">
        <v>76</v>
      </c>
      <c r="F444" s="87"/>
      <c r="G444" s="86"/>
    </row>
    <row r="445" spans="3:7" ht="54" x14ac:dyDescent="0.25">
      <c r="C445" s="76" t="s">
        <v>75</v>
      </c>
      <c r="D445" s="82">
        <f>((D420*D419*0.05)*2.4)*D421</f>
        <v>4.2119999999999997</v>
      </c>
      <c r="E445" s="74" t="s">
        <v>74</v>
      </c>
      <c r="F445" s="87"/>
      <c r="G445" s="86"/>
    </row>
    <row r="446" spans="3:7" ht="21" customHeight="1" x14ac:dyDescent="0.25">
      <c r="C446" s="87"/>
      <c r="D446" s="88"/>
      <c r="E446" s="87"/>
      <c r="F446" s="87"/>
      <c r="G446" s="86"/>
    </row>
    <row r="447" spans="3:7" ht="21" customHeight="1" thickBot="1" x14ac:dyDescent="0.25">
      <c r="C447" s="85"/>
      <c r="D447" s="85"/>
      <c r="E447" s="85"/>
      <c r="F447" s="85"/>
      <c r="G447" s="85"/>
    </row>
    <row r="448" spans="3:7" ht="21" customHeight="1" thickBot="1" x14ac:dyDescent="0.3">
      <c r="C448" s="284" t="s">
        <v>102</v>
      </c>
      <c r="D448" s="285"/>
      <c r="E448" s="285"/>
      <c r="F448" s="286"/>
      <c r="G448" s="85"/>
    </row>
    <row r="449" spans="3:7" ht="21" customHeight="1" x14ac:dyDescent="0.25">
      <c r="C449" s="100"/>
      <c r="D449" s="99"/>
      <c r="E449" s="99"/>
      <c r="F449" s="99"/>
      <c r="G449" s="85"/>
    </row>
    <row r="450" spans="3:7" ht="21" customHeight="1" x14ac:dyDescent="0.25">
      <c r="C450" s="87" t="s">
        <v>101</v>
      </c>
      <c r="D450" s="105">
        <v>200</v>
      </c>
      <c r="E450" s="87" t="s">
        <v>100</v>
      </c>
      <c r="F450" s="87"/>
      <c r="G450" s="85"/>
    </row>
    <row r="451" spans="3:7" ht="21" customHeight="1" x14ac:dyDescent="0.25">
      <c r="C451" s="87" t="s">
        <v>98</v>
      </c>
      <c r="D451" s="97">
        <v>1.2</v>
      </c>
      <c r="E451" s="87" t="s">
        <v>76</v>
      </c>
      <c r="F451" s="87"/>
      <c r="G451" s="85"/>
    </row>
    <row r="452" spans="3:7" ht="21" customHeight="1" x14ac:dyDescent="0.25">
      <c r="C452" s="87" t="s">
        <v>97</v>
      </c>
      <c r="D452" s="95">
        <v>1.5</v>
      </c>
      <c r="E452" s="87" t="s">
        <v>41</v>
      </c>
      <c r="F452" s="87"/>
      <c r="G452" s="85"/>
    </row>
    <row r="453" spans="3:7" ht="21" customHeight="1" x14ac:dyDescent="0.25">
      <c r="C453" s="87" t="s">
        <v>96</v>
      </c>
      <c r="D453" s="95">
        <v>0.9</v>
      </c>
      <c r="E453" s="87" t="s">
        <v>41</v>
      </c>
      <c r="F453" s="87"/>
      <c r="G453" s="85"/>
    </row>
    <row r="454" spans="3:7" ht="21" customHeight="1" x14ac:dyDescent="0.25">
      <c r="C454" s="87" t="s">
        <v>95</v>
      </c>
      <c r="D454" s="95">
        <v>0</v>
      </c>
      <c r="E454" s="90" t="s">
        <v>94</v>
      </c>
      <c r="F454" s="87"/>
      <c r="G454" s="85"/>
    </row>
    <row r="455" spans="3:7" ht="21" customHeight="1" x14ac:dyDescent="0.25">
      <c r="C455" s="87"/>
      <c r="D455" s="90"/>
      <c r="E455" s="90"/>
      <c r="F455" s="87"/>
      <c r="G455" s="85"/>
    </row>
    <row r="456" spans="3:7" ht="21" customHeight="1" x14ac:dyDescent="0.25">
      <c r="C456" s="87"/>
      <c r="D456" s="90"/>
      <c r="E456" s="90"/>
      <c r="F456" s="87"/>
      <c r="G456" s="85"/>
    </row>
    <row r="457" spans="3:7" ht="21" customHeight="1" x14ac:dyDescent="0.25">
      <c r="C457" s="87"/>
      <c r="D457" s="90"/>
      <c r="E457" s="90"/>
      <c r="F457" s="87"/>
      <c r="G457" s="85"/>
    </row>
    <row r="458" spans="3:7" ht="21" customHeight="1" x14ac:dyDescent="0.25">
      <c r="C458" s="87"/>
      <c r="D458" s="90"/>
      <c r="E458" s="90"/>
      <c r="F458" s="87"/>
      <c r="G458" s="85"/>
    </row>
    <row r="459" spans="3:7" ht="21" customHeight="1" x14ac:dyDescent="0.25">
      <c r="C459" s="87"/>
      <c r="D459" s="90"/>
      <c r="E459" s="90"/>
      <c r="F459" s="87"/>
      <c r="G459" s="85"/>
    </row>
    <row r="460" spans="3:7" ht="21" customHeight="1" x14ac:dyDescent="0.25">
      <c r="C460" s="87"/>
      <c r="D460" s="90"/>
      <c r="E460" s="90"/>
      <c r="F460" s="87"/>
      <c r="G460" s="85"/>
    </row>
    <row r="461" spans="3:7" ht="21" customHeight="1" x14ac:dyDescent="0.25">
      <c r="C461" s="87"/>
      <c r="D461" s="90"/>
      <c r="E461" s="90"/>
      <c r="F461" s="87"/>
      <c r="G461" s="85"/>
    </row>
    <row r="462" spans="3:7" ht="21" customHeight="1" x14ac:dyDescent="0.25">
      <c r="C462" s="87"/>
      <c r="D462" s="90"/>
      <c r="E462" s="90"/>
      <c r="F462" s="87"/>
      <c r="G462" s="85"/>
    </row>
    <row r="463" spans="3:7" ht="21" customHeight="1" x14ac:dyDescent="0.25">
      <c r="C463" s="87"/>
      <c r="D463" s="90"/>
      <c r="E463" s="90"/>
      <c r="F463" s="87"/>
      <c r="G463" s="85"/>
    </row>
    <row r="464" spans="3:7" ht="21" customHeight="1" x14ac:dyDescent="0.25">
      <c r="C464" s="87"/>
      <c r="D464" s="90"/>
      <c r="E464" s="90"/>
      <c r="F464" s="87"/>
      <c r="G464" s="85"/>
    </row>
    <row r="465" spans="2:11" ht="21" customHeight="1" x14ac:dyDescent="0.25">
      <c r="C465" s="85"/>
      <c r="D465" s="87"/>
      <c r="E465" s="87"/>
      <c r="F465" s="87"/>
      <c r="G465" s="85"/>
    </row>
    <row r="466" spans="2:11" ht="21" customHeight="1" x14ac:dyDescent="0.2">
      <c r="C466" s="93"/>
      <c r="D466" s="93"/>
      <c r="E466" s="93"/>
      <c r="F466" s="93"/>
      <c r="G466" s="85"/>
    </row>
    <row r="467" spans="2:11" ht="21" hidden="1" customHeight="1" x14ac:dyDescent="0.25">
      <c r="C467" s="77" t="s">
        <v>92</v>
      </c>
      <c r="D467" s="78">
        <f>D452</f>
        <v>1.5</v>
      </c>
      <c r="E467" s="77" t="s">
        <v>41</v>
      </c>
      <c r="F467" s="87"/>
      <c r="G467" s="85"/>
    </row>
    <row r="468" spans="2:11" ht="21" customHeight="1" x14ac:dyDescent="0.25">
      <c r="C468" s="77" t="s">
        <v>91</v>
      </c>
      <c r="D468" s="84">
        <f>D452*D453*D454</f>
        <v>0</v>
      </c>
      <c r="E468" s="81" t="s">
        <v>83</v>
      </c>
      <c r="F468" s="87"/>
      <c r="G468" s="85"/>
    </row>
    <row r="469" spans="2:11" ht="21" customHeight="1" x14ac:dyDescent="0.25">
      <c r="C469" s="77" t="s">
        <v>88</v>
      </c>
      <c r="D469" s="84">
        <f>D453*D452*D451*D454</f>
        <v>0</v>
      </c>
      <c r="E469" s="79" t="s">
        <v>81</v>
      </c>
      <c r="F469" s="90"/>
      <c r="G469" s="85"/>
    </row>
    <row r="470" spans="2:11" ht="21" customHeight="1" x14ac:dyDescent="0.25">
      <c r="C470" s="77" t="s">
        <v>87</v>
      </c>
      <c r="D470" s="78">
        <f>D453*D452*D454*0.1</f>
        <v>0</v>
      </c>
      <c r="E470" s="79" t="s">
        <v>81</v>
      </c>
      <c r="F470" s="90"/>
      <c r="G470" s="85"/>
    </row>
    <row r="471" spans="2:11" ht="21" customHeight="1" x14ac:dyDescent="0.25">
      <c r="C471" s="77" t="s">
        <v>86</v>
      </c>
      <c r="D471" s="78">
        <f>D453*D452*D454*0.1</f>
        <v>0</v>
      </c>
      <c r="E471" s="79" t="s">
        <v>81</v>
      </c>
      <c r="F471" s="90"/>
      <c r="G471" s="85"/>
    </row>
    <row r="472" spans="2:11" ht="36" x14ac:dyDescent="0.2">
      <c r="C472" s="83" t="s">
        <v>85</v>
      </c>
      <c r="D472" s="82">
        <f>D453*D452*D454</f>
        <v>0</v>
      </c>
      <c r="E472" s="81" t="s">
        <v>83</v>
      </c>
      <c r="F472" s="91"/>
      <c r="G472" s="85"/>
    </row>
    <row r="473" spans="2:11" ht="21" customHeight="1" x14ac:dyDescent="0.2">
      <c r="C473" s="83" t="s">
        <v>84</v>
      </c>
      <c r="D473" s="82">
        <f>D453*D452*D454</f>
        <v>0</v>
      </c>
      <c r="E473" s="81" t="s">
        <v>83</v>
      </c>
      <c r="F473" s="91"/>
      <c r="G473" s="85"/>
      <c r="K473" s="108" t="e">
        <f>D488+D454+D421+D386+#REF!</f>
        <v>#REF!</v>
      </c>
    </row>
    <row r="474" spans="2:11" ht="21" customHeight="1" x14ac:dyDescent="0.25">
      <c r="C474" s="77" t="s">
        <v>82</v>
      </c>
      <c r="D474" s="84">
        <f>(D469-(((3.1416*(0.2)*(0.2))/4)*D452)*D454-D470-D471)*1.3</f>
        <v>0</v>
      </c>
      <c r="E474" s="79" t="s">
        <v>81</v>
      </c>
      <c r="F474" s="90"/>
      <c r="G474" s="85"/>
    </row>
    <row r="475" spans="2:11" ht="21" hidden="1" customHeight="1" x14ac:dyDescent="0.25">
      <c r="C475" s="77" t="s">
        <v>80</v>
      </c>
      <c r="D475" s="78">
        <f>D452</f>
        <v>1.5</v>
      </c>
      <c r="E475" s="77" t="s">
        <v>76</v>
      </c>
      <c r="F475" s="87"/>
      <c r="G475" s="85"/>
    </row>
    <row r="476" spans="2:11" ht="21" hidden="1" customHeight="1" x14ac:dyDescent="0.25">
      <c r="C476" s="77" t="s">
        <v>79</v>
      </c>
      <c r="D476" s="78">
        <f>D452</f>
        <v>1.5</v>
      </c>
      <c r="E476" s="77" t="s">
        <v>76</v>
      </c>
      <c r="F476" s="87"/>
      <c r="G476" s="85"/>
    </row>
    <row r="477" spans="2:11" ht="54" x14ac:dyDescent="0.2">
      <c r="B477" s="107"/>
      <c r="C477" s="76" t="s">
        <v>75</v>
      </c>
      <c r="D477" s="75">
        <f>((D453*D452*0.05)*2.4)*D454</f>
        <v>0</v>
      </c>
      <c r="E477" s="74" t="s">
        <v>74</v>
      </c>
      <c r="F477" s="106"/>
      <c r="G477" s="106"/>
    </row>
    <row r="478" spans="2:11" ht="21" customHeight="1" x14ac:dyDescent="0.2">
      <c r="C478" s="85"/>
      <c r="D478" s="85"/>
      <c r="E478" s="85"/>
      <c r="F478" s="85"/>
      <c r="G478" s="85"/>
    </row>
    <row r="479" spans="2:11" ht="21" customHeight="1" thickBot="1" x14ac:dyDescent="0.25">
      <c r="C479" s="85"/>
      <c r="D479" s="85"/>
      <c r="E479" s="85"/>
      <c r="F479" s="85"/>
      <c r="G479" s="85"/>
    </row>
    <row r="480" spans="2:11" ht="41.25" customHeight="1" thickBot="1" x14ac:dyDescent="0.25">
      <c r="B480" s="104"/>
      <c r="C480" s="287" t="s">
        <v>410</v>
      </c>
      <c r="D480" s="288"/>
      <c r="E480" s="288"/>
      <c r="F480" s="289"/>
      <c r="G480" s="103"/>
    </row>
    <row r="481" spans="3:7" ht="21" customHeight="1" thickBot="1" x14ac:dyDescent="0.25">
      <c r="C481" s="85"/>
      <c r="D481" s="85"/>
      <c r="E481" s="85"/>
      <c r="F481" s="85"/>
      <c r="G481" s="85"/>
    </row>
    <row r="482" spans="3:7" ht="21" customHeight="1" thickBot="1" x14ac:dyDescent="0.3">
      <c r="C482" s="284" t="s">
        <v>102</v>
      </c>
      <c r="D482" s="285"/>
      <c r="E482" s="285"/>
      <c r="F482" s="286"/>
      <c r="G482" s="101"/>
    </row>
    <row r="483" spans="3:7" ht="21" customHeight="1" x14ac:dyDescent="0.25">
      <c r="C483" s="100"/>
      <c r="D483" s="99"/>
      <c r="E483" s="99"/>
      <c r="F483" s="99"/>
      <c r="G483" s="98"/>
    </row>
    <row r="484" spans="3:7" ht="21" customHeight="1" x14ac:dyDescent="0.25">
      <c r="C484" s="87" t="s">
        <v>101</v>
      </c>
      <c r="D484" s="105">
        <v>250</v>
      </c>
      <c r="E484" s="87" t="s">
        <v>100</v>
      </c>
      <c r="F484" s="87"/>
      <c r="G484" s="101"/>
    </row>
    <row r="485" spans="3:7" ht="21" customHeight="1" x14ac:dyDescent="0.25">
      <c r="C485" s="87" t="s">
        <v>98</v>
      </c>
      <c r="D485" s="97">
        <v>1.2</v>
      </c>
      <c r="E485" s="87" t="s">
        <v>76</v>
      </c>
      <c r="F485" s="87"/>
      <c r="G485" s="96"/>
    </row>
    <row r="486" spans="3:7" ht="21" customHeight="1" x14ac:dyDescent="0.25">
      <c r="C486" s="87" t="s">
        <v>97</v>
      </c>
      <c r="D486" s="95">
        <v>1.5</v>
      </c>
      <c r="E486" s="87" t="s">
        <v>41</v>
      </c>
      <c r="F486" s="87"/>
      <c r="G486" s="94"/>
    </row>
    <row r="487" spans="3:7" ht="21" customHeight="1" x14ac:dyDescent="0.25">
      <c r="C487" s="87" t="s">
        <v>96</v>
      </c>
      <c r="D487" s="95">
        <v>0.9</v>
      </c>
      <c r="E487" s="87" t="s">
        <v>41</v>
      </c>
      <c r="F487" s="87"/>
      <c r="G487" s="94"/>
    </row>
    <row r="488" spans="3:7" ht="21" customHeight="1" x14ac:dyDescent="0.25">
      <c r="C488" s="87" t="s">
        <v>95</v>
      </c>
      <c r="D488" s="95">
        <v>0</v>
      </c>
      <c r="E488" s="90" t="s">
        <v>94</v>
      </c>
      <c r="F488" s="87"/>
      <c r="G488" s="94"/>
    </row>
    <row r="489" spans="3:7" ht="21" customHeight="1" x14ac:dyDescent="0.25">
      <c r="C489" s="87"/>
      <c r="D489" s="90"/>
      <c r="E489" s="90"/>
      <c r="F489" s="87"/>
      <c r="G489" s="94"/>
    </row>
    <row r="490" spans="3:7" ht="21" customHeight="1" x14ac:dyDescent="0.25">
      <c r="C490" s="87"/>
      <c r="D490" s="90"/>
      <c r="E490" s="90"/>
      <c r="F490" s="87"/>
      <c r="G490" s="94"/>
    </row>
    <row r="491" spans="3:7" ht="21" customHeight="1" x14ac:dyDescent="0.25">
      <c r="C491" s="87"/>
      <c r="D491" s="90"/>
      <c r="E491" s="90"/>
      <c r="F491" s="87"/>
      <c r="G491" s="94"/>
    </row>
    <row r="492" spans="3:7" ht="21" customHeight="1" x14ac:dyDescent="0.25">
      <c r="C492" s="87"/>
      <c r="D492" s="90"/>
      <c r="E492" s="90"/>
      <c r="F492" s="87"/>
      <c r="G492" s="94"/>
    </row>
    <row r="493" spans="3:7" ht="21" customHeight="1" x14ac:dyDescent="0.25">
      <c r="C493" s="87"/>
      <c r="D493" s="90"/>
      <c r="E493" s="90"/>
      <c r="F493" s="87"/>
      <c r="G493" s="94"/>
    </row>
    <row r="494" spans="3:7" ht="21" customHeight="1" x14ac:dyDescent="0.25">
      <c r="C494" s="87"/>
      <c r="D494" s="90"/>
      <c r="E494" s="90"/>
      <c r="F494" s="87"/>
      <c r="G494" s="94"/>
    </row>
    <row r="495" spans="3:7" ht="21" customHeight="1" x14ac:dyDescent="0.25">
      <c r="C495" s="87"/>
      <c r="D495" s="90"/>
      <c r="E495" s="90"/>
      <c r="F495" s="87"/>
      <c r="G495" s="94"/>
    </row>
    <row r="496" spans="3:7" ht="21" customHeight="1" x14ac:dyDescent="0.25">
      <c r="C496" s="87"/>
      <c r="D496" s="90"/>
      <c r="E496" s="90"/>
      <c r="F496" s="87"/>
      <c r="G496" s="94"/>
    </row>
    <row r="497" spans="3:7" ht="21" customHeight="1" x14ac:dyDescent="0.25">
      <c r="C497" s="87"/>
      <c r="D497" s="90"/>
      <c r="E497" s="90"/>
      <c r="F497" s="87"/>
      <c r="G497" s="94"/>
    </row>
    <row r="498" spans="3:7" ht="21" customHeight="1" x14ac:dyDescent="0.25">
      <c r="C498" s="85"/>
      <c r="D498" s="87"/>
      <c r="E498" s="87"/>
      <c r="F498" s="87"/>
      <c r="G498" s="94"/>
    </row>
    <row r="499" spans="3:7" ht="21" customHeight="1" x14ac:dyDescent="0.25">
      <c r="C499" s="85"/>
      <c r="D499" s="87"/>
      <c r="E499" s="87"/>
      <c r="F499" s="87"/>
      <c r="G499" s="94"/>
    </row>
    <row r="500" spans="3:7" ht="21" customHeight="1" x14ac:dyDescent="0.25">
      <c r="C500" s="85"/>
      <c r="D500" s="87"/>
      <c r="E500" s="87"/>
      <c r="F500" s="87"/>
      <c r="G500" s="94"/>
    </row>
    <row r="501" spans="3:7" ht="21" customHeight="1" x14ac:dyDescent="0.2">
      <c r="C501" s="85"/>
      <c r="D501" s="85"/>
      <c r="E501" s="85"/>
      <c r="F501" s="85"/>
      <c r="G501" s="85"/>
    </row>
    <row r="502" spans="3:7" ht="21" hidden="1" customHeight="1" x14ac:dyDescent="0.25">
      <c r="C502" s="77" t="s">
        <v>92</v>
      </c>
      <c r="D502" s="78">
        <f>D486</f>
        <v>1.5</v>
      </c>
      <c r="E502" s="77" t="s">
        <v>41</v>
      </c>
      <c r="F502" s="87"/>
      <c r="G502" s="92"/>
    </row>
    <row r="503" spans="3:7" ht="21" customHeight="1" x14ac:dyDescent="0.25">
      <c r="C503" s="77" t="s">
        <v>91</v>
      </c>
      <c r="D503" s="84">
        <f>D486*D487*D488</f>
        <v>0</v>
      </c>
      <c r="E503" s="81" t="s">
        <v>83</v>
      </c>
      <c r="F503" s="87"/>
      <c r="G503" s="92"/>
    </row>
    <row r="504" spans="3:7" ht="21" customHeight="1" x14ac:dyDescent="0.25">
      <c r="C504" s="77" t="s">
        <v>88</v>
      </c>
      <c r="D504" s="84">
        <f>D487*D486*D485*D488</f>
        <v>0</v>
      </c>
      <c r="E504" s="79" t="s">
        <v>81</v>
      </c>
      <c r="F504" s="90"/>
      <c r="G504" s="92"/>
    </row>
    <row r="505" spans="3:7" ht="21" customHeight="1" x14ac:dyDescent="0.25">
      <c r="C505" s="77" t="s">
        <v>87</v>
      </c>
      <c r="D505" s="78">
        <f>D487*D486*D488*0.1</f>
        <v>0</v>
      </c>
      <c r="E505" s="79" t="s">
        <v>81</v>
      </c>
      <c r="F505" s="90"/>
      <c r="G505" s="89"/>
    </row>
    <row r="506" spans="3:7" ht="21" customHeight="1" x14ac:dyDescent="0.25">
      <c r="C506" s="77" t="s">
        <v>86</v>
      </c>
      <c r="D506" s="78">
        <f>D487*D486*D488*0.1</f>
        <v>0</v>
      </c>
      <c r="E506" s="79" t="s">
        <v>81</v>
      </c>
      <c r="F506" s="90"/>
      <c r="G506" s="89"/>
    </row>
    <row r="507" spans="3:7" ht="36" x14ac:dyDescent="0.2">
      <c r="C507" s="83" t="s">
        <v>85</v>
      </c>
      <c r="D507" s="82">
        <f>D487*D486*D488</f>
        <v>0</v>
      </c>
      <c r="E507" s="81" t="s">
        <v>83</v>
      </c>
      <c r="F507" s="91"/>
      <c r="G507" s="89"/>
    </row>
    <row r="508" spans="3:7" ht="21" customHeight="1" x14ac:dyDescent="0.2">
      <c r="C508" s="83" t="s">
        <v>84</v>
      </c>
      <c r="D508" s="82">
        <f>D487*D486*D488</f>
        <v>0</v>
      </c>
      <c r="E508" s="81" t="s">
        <v>83</v>
      </c>
      <c r="F508" s="91"/>
      <c r="G508" s="89"/>
    </row>
    <row r="509" spans="3:7" ht="21" customHeight="1" x14ac:dyDescent="0.25">
      <c r="C509" s="77" t="s">
        <v>82</v>
      </c>
      <c r="D509" s="84">
        <f>(D504-(((3.1416*(0.25)*(0.25))/4)*D486)-D505-D506)*1.3*D488</f>
        <v>0</v>
      </c>
      <c r="E509" s="79" t="s">
        <v>81</v>
      </c>
      <c r="F509" s="90"/>
      <c r="G509" s="89"/>
    </row>
    <row r="510" spans="3:7" ht="21" hidden="1" customHeight="1" x14ac:dyDescent="0.25">
      <c r="C510" s="77" t="s">
        <v>80</v>
      </c>
      <c r="D510" s="78">
        <f>D486</f>
        <v>1.5</v>
      </c>
      <c r="E510" s="77" t="s">
        <v>76</v>
      </c>
      <c r="F510" s="87"/>
      <c r="G510" s="89"/>
    </row>
    <row r="511" spans="3:7" ht="21" hidden="1" customHeight="1" x14ac:dyDescent="0.25">
      <c r="C511" s="77" t="s">
        <v>79</v>
      </c>
      <c r="D511" s="78">
        <f>D486</f>
        <v>1.5</v>
      </c>
      <c r="E511" s="77" t="s">
        <v>76</v>
      </c>
      <c r="F511" s="87"/>
      <c r="G511" s="86"/>
    </row>
    <row r="512" spans="3:7" ht="54" x14ac:dyDescent="0.25">
      <c r="C512" s="76" t="s">
        <v>75</v>
      </c>
      <c r="D512" s="82">
        <f>((D487*D486*0.05)*2.4)*D488</f>
        <v>0</v>
      </c>
      <c r="E512" s="74" t="s">
        <v>74</v>
      </c>
      <c r="F512" s="87"/>
      <c r="G512" s="86"/>
    </row>
    <row r="513" spans="2:7" ht="21" customHeight="1" x14ac:dyDescent="0.2">
      <c r="C513" s="85"/>
      <c r="D513" s="85"/>
      <c r="E513" s="85"/>
      <c r="F513" s="85"/>
      <c r="G513" s="85"/>
    </row>
    <row r="514" spans="2:7" ht="21" customHeight="1" thickBot="1" x14ac:dyDescent="0.25">
      <c r="C514" s="85"/>
      <c r="D514" s="85"/>
      <c r="E514" s="85"/>
      <c r="F514" s="85"/>
      <c r="G514" s="85"/>
    </row>
    <row r="515" spans="2:7" ht="41.25" customHeight="1" thickBot="1" x14ac:dyDescent="0.25">
      <c r="B515" s="104"/>
      <c r="C515" s="287" t="s">
        <v>410</v>
      </c>
      <c r="D515" s="288"/>
      <c r="E515" s="288"/>
      <c r="F515" s="289"/>
      <c r="G515" s="103"/>
    </row>
    <row r="516" spans="2:7" ht="21" customHeight="1" thickBot="1" x14ac:dyDescent="0.25">
      <c r="C516" s="85"/>
      <c r="D516" s="85"/>
      <c r="E516" s="85"/>
      <c r="F516" s="85"/>
      <c r="G516" s="85"/>
    </row>
    <row r="517" spans="2:7" ht="21" customHeight="1" thickBot="1" x14ac:dyDescent="0.3">
      <c r="C517" s="284" t="s">
        <v>99</v>
      </c>
      <c r="D517" s="285"/>
      <c r="E517" s="285"/>
      <c r="F517" s="286"/>
      <c r="G517" s="101"/>
    </row>
    <row r="518" spans="2:7" ht="21" customHeight="1" x14ac:dyDescent="0.25">
      <c r="C518" s="100"/>
      <c r="D518" s="99"/>
      <c r="E518" s="99"/>
      <c r="F518" s="99"/>
      <c r="G518" s="98"/>
    </row>
    <row r="519" spans="2:7" ht="21" customHeight="1" x14ac:dyDescent="0.25">
      <c r="C519" s="87" t="s">
        <v>98</v>
      </c>
      <c r="D519" s="97">
        <v>1.2</v>
      </c>
      <c r="E519" s="87" t="s">
        <v>76</v>
      </c>
      <c r="F519" s="87"/>
      <c r="G519" s="96"/>
    </row>
    <row r="520" spans="2:7" ht="21" customHeight="1" x14ac:dyDescent="0.25">
      <c r="C520" s="87" t="s">
        <v>97</v>
      </c>
      <c r="D520" s="95">
        <v>0.5</v>
      </c>
      <c r="E520" s="87" t="s">
        <v>41</v>
      </c>
      <c r="F520" s="87"/>
      <c r="G520" s="94"/>
    </row>
    <row r="521" spans="2:7" ht="21" customHeight="1" x14ac:dyDescent="0.25">
      <c r="C521" s="87" t="s">
        <v>96</v>
      </c>
      <c r="D521" s="95">
        <v>0.5</v>
      </c>
      <c r="E521" s="87" t="s">
        <v>41</v>
      </c>
      <c r="F521" s="87"/>
      <c r="G521" s="94"/>
    </row>
    <row r="522" spans="2:7" ht="21" customHeight="1" x14ac:dyDescent="0.25">
      <c r="C522" s="87" t="s">
        <v>95</v>
      </c>
      <c r="D522" s="95">
        <v>1136</v>
      </c>
      <c r="E522" s="90" t="s">
        <v>94</v>
      </c>
      <c r="F522" s="87"/>
      <c r="G522" s="94"/>
    </row>
    <row r="523" spans="2:7" ht="21" customHeight="1" x14ac:dyDescent="0.25">
      <c r="C523" s="87"/>
      <c r="D523" s="90"/>
      <c r="E523" s="90"/>
      <c r="F523" s="87"/>
      <c r="G523" s="94"/>
    </row>
    <row r="524" spans="2:7" ht="21" customHeight="1" x14ac:dyDescent="0.25">
      <c r="C524" s="87"/>
      <c r="D524" s="90"/>
      <c r="E524" s="90"/>
      <c r="F524" s="87"/>
      <c r="G524" s="94"/>
    </row>
    <row r="525" spans="2:7" ht="21" customHeight="1" x14ac:dyDescent="0.25">
      <c r="C525" s="87"/>
      <c r="D525" s="90"/>
      <c r="E525" s="90"/>
      <c r="F525" s="87"/>
      <c r="G525" s="94"/>
    </row>
    <row r="526" spans="2:7" ht="21" customHeight="1" x14ac:dyDescent="0.25">
      <c r="C526" s="87"/>
      <c r="D526" s="90"/>
      <c r="E526" s="90"/>
      <c r="F526" s="87"/>
      <c r="G526" s="94"/>
    </row>
    <row r="527" spans="2:7" ht="21" customHeight="1" x14ac:dyDescent="0.25">
      <c r="C527" s="87"/>
      <c r="D527" s="90"/>
      <c r="E527" s="90"/>
      <c r="F527" s="87"/>
      <c r="G527" s="94"/>
    </row>
    <row r="528" spans="2:7" ht="21" customHeight="1" x14ac:dyDescent="0.25">
      <c r="C528" s="87"/>
      <c r="D528" s="90"/>
      <c r="E528" s="90"/>
      <c r="F528" s="87"/>
      <c r="G528" s="94"/>
    </row>
    <row r="529" spans="3:7" ht="21" customHeight="1" x14ac:dyDescent="0.25">
      <c r="C529" s="87"/>
      <c r="D529" s="90"/>
      <c r="E529" s="90"/>
      <c r="F529" s="87"/>
      <c r="G529" s="94"/>
    </row>
    <row r="530" spans="3:7" ht="21" customHeight="1" x14ac:dyDescent="0.25">
      <c r="C530" s="87"/>
      <c r="D530" s="90"/>
      <c r="E530" s="90"/>
      <c r="F530" s="87"/>
      <c r="G530" s="94"/>
    </row>
    <row r="531" spans="3:7" ht="21" customHeight="1" x14ac:dyDescent="0.25">
      <c r="C531" s="87"/>
      <c r="D531" s="90"/>
      <c r="E531" s="90"/>
      <c r="F531" s="87"/>
      <c r="G531" s="94"/>
    </row>
    <row r="532" spans="3:7" ht="21" customHeight="1" x14ac:dyDescent="0.25">
      <c r="C532" s="85"/>
      <c r="D532" s="87"/>
      <c r="E532" s="87"/>
      <c r="F532" s="87"/>
      <c r="G532" s="94"/>
    </row>
    <row r="533" spans="3:7" ht="21" customHeight="1" x14ac:dyDescent="0.25">
      <c r="C533" s="85"/>
      <c r="D533" s="87"/>
      <c r="E533" s="87"/>
      <c r="F533" s="87"/>
      <c r="G533" s="94"/>
    </row>
    <row r="534" spans="3:7" ht="21" customHeight="1" x14ac:dyDescent="0.25">
      <c r="C534" s="85"/>
      <c r="D534" s="87"/>
      <c r="E534" s="87"/>
      <c r="F534" s="87"/>
      <c r="G534" s="94"/>
    </row>
    <row r="535" spans="3:7" ht="21" customHeight="1" x14ac:dyDescent="0.2">
      <c r="C535" s="93"/>
      <c r="D535" s="93"/>
      <c r="E535" s="93"/>
      <c r="F535" s="93"/>
      <c r="G535" s="92"/>
    </row>
    <row r="536" spans="3:7" ht="21" customHeight="1" x14ac:dyDescent="0.25">
      <c r="C536" s="77" t="s">
        <v>90</v>
      </c>
      <c r="D536" s="84">
        <f>D520*D521*D522</f>
        <v>284</v>
      </c>
      <c r="E536" s="81" t="s">
        <v>83</v>
      </c>
      <c r="F536" s="87"/>
      <c r="G536" s="92"/>
    </row>
    <row r="537" spans="3:7" ht="21" customHeight="1" x14ac:dyDescent="0.25">
      <c r="C537" s="77" t="s">
        <v>88</v>
      </c>
      <c r="D537" s="84">
        <f>D521*D520*D519*D522</f>
        <v>340.8</v>
      </c>
      <c r="E537" s="79" t="s">
        <v>81</v>
      </c>
      <c r="F537" s="90"/>
      <c r="G537" s="92"/>
    </row>
    <row r="538" spans="3:7" ht="21" x14ac:dyDescent="0.2">
      <c r="C538" s="83" t="s">
        <v>89</v>
      </c>
      <c r="D538" s="82">
        <f>D521*D520*D522</f>
        <v>284</v>
      </c>
      <c r="E538" s="81" t="s">
        <v>83</v>
      </c>
      <c r="F538" s="91"/>
      <c r="G538" s="89"/>
    </row>
    <row r="539" spans="3:7" ht="21" customHeight="1" x14ac:dyDescent="0.25">
      <c r="C539" s="77" t="s">
        <v>82</v>
      </c>
      <c r="D539" s="84">
        <f>D537*1.3</f>
        <v>443.04</v>
      </c>
      <c r="E539" s="79" t="s">
        <v>81</v>
      </c>
      <c r="F539" s="90"/>
      <c r="G539" s="89"/>
    </row>
    <row r="540" spans="3:7" ht="21" customHeight="1" x14ac:dyDescent="0.25">
      <c r="C540" s="87"/>
      <c r="D540" s="88"/>
      <c r="E540" s="87"/>
      <c r="F540" s="87"/>
      <c r="G540" s="86"/>
    </row>
    <row r="541" spans="3:7" ht="21" customHeight="1" x14ac:dyDescent="0.2">
      <c r="C541" s="85"/>
      <c r="D541" s="85"/>
      <c r="E541" s="85"/>
      <c r="F541" s="85"/>
      <c r="G541" s="85"/>
    </row>
    <row r="542" spans="3:7" ht="21" customHeight="1" x14ac:dyDescent="0.3">
      <c r="C542" s="290" t="s">
        <v>93</v>
      </c>
      <c r="D542" s="291"/>
      <c r="E542" s="292"/>
    </row>
    <row r="543" spans="3:7" ht="21" hidden="1" customHeight="1" x14ac:dyDescent="0.25">
      <c r="C543" s="77" t="s">
        <v>92</v>
      </c>
      <c r="D543" s="78">
        <f>D94+D126+D161+D194+D298+D330</f>
        <v>12</v>
      </c>
      <c r="E543" s="77" t="s">
        <v>41</v>
      </c>
    </row>
    <row r="544" spans="3:7" ht="21" customHeight="1" x14ac:dyDescent="0.25">
      <c r="C544" s="77" t="s">
        <v>91</v>
      </c>
      <c r="D544" s="84">
        <f>ROUND(D27+D59+D95+D127+D162+D195+D231+D263+D299+D331+D400+D436+D468+D503+D368,2)</f>
        <v>1249.25</v>
      </c>
      <c r="E544" s="81" t="s">
        <v>83</v>
      </c>
    </row>
    <row r="545" spans="3:5" ht="21" customHeight="1" x14ac:dyDescent="0.25">
      <c r="C545" s="77" t="s">
        <v>90</v>
      </c>
      <c r="D545" s="84">
        <f>ROUND(D536,2)</f>
        <v>284</v>
      </c>
      <c r="E545" s="81" t="s">
        <v>83</v>
      </c>
    </row>
    <row r="546" spans="3:5" ht="21" customHeight="1" x14ac:dyDescent="0.2">
      <c r="C546" s="83" t="s">
        <v>89</v>
      </c>
      <c r="D546" s="82">
        <f>ROUND(D538,2)</f>
        <v>284</v>
      </c>
      <c r="E546" s="81" t="s">
        <v>83</v>
      </c>
    </row>
    <row r="547" spans="3:5" ht="21" customHeight="1" x14ac:dyDescent="0.25">
      <c r="C547" s="77" t="s">
        <v>88</v>
      </c>
      <c r="D547" s="84">
        <f>ROUND(D332+D300+D264+D232+D196+D163+D128+D96+D60+D28+D401+D437+D469+D504+D537+D369,2)</f>
        <v>1839.9</v>
      </c>
      <c r="E547" s="79" t="s">
        <v>81</v>
      </c>
    </row>
    <row r="548" spans="3:5" ht="21" customHeight="1" x14ac:dyDescent="0.25">
      <c r="C548" s="77" t="s">
        <v>87</v>
      </c>
      <c r="D548" s="78">
        <f>ROUND(D333+D301+D265+D233+D197+D164+D129+D97+D61+D29+D402+D438+D470+D505+D370,2)</f>
        <v>124.93</v>
      </c>
      <c r="E548" s="79" t="s">
        <v>81</v>
      </c>
    </row>
    <row r="549" spans="3:5" ht="21" customHeight="1" x14ac:dyDescent="0.25">
      <c r="C549" s="77" t="s">
        <v>86</v>
      </c>
      <c r="D549" s="78">
        <f>ROUND(D30+D62+D98+D130+D165+D198+D234+D266+D302+D334+D403+D439+D471+D506+D371,2)</f>
        <v>124.93</v>
      </c>
      <c r="E549" s="79" t="s">
        <v>81</v>
      </c>
    </row>
    <row r="550" spans="3:5" ht="36" x14ac:dyDescent="0.2">
      <c r="C550" s="83" t="s">
        <v>85</v>
      </c>
      <c r="D550" s="82">
        <f>ROUND(D335+D303+D267+D235+D199+D166+D131+D99+D63+D31+D404+D440+D472+D507+D372,2)</f>
        <v>1249.25</v>
      </c>
      <c r="E550" s="81" t="s">
        <v>83</v>
      </c>
    </row>
    <row r="551" spans="3:5" ht="21" customHeight="1" x14ac:dyDescent="0.2">
      <c r="C551" s="83" t="s">
        <v>84</v>
      </c>
      <c r="D551" s="82">
        <f>ROUND(D336+D304+D268+D236+D200+D167+D132+D100+D64+D32+D405+D441+D473+D508+D373,2)</f>
        <v>1249.25</v>
      </c>
      <c r="E551" s="81" t="s">
        <v>83</v>
      </c>
    </row>
    <row r="552" spans="3:5" ht="21" customHeight="1" x14ac:dyDescent="0.25">
      <c r="C552" s="77" t="s">
        <v>82</v>
      </c>
      <c r="D552" s="80">
        <f>ROUND(D337+D305+D269+D237+D201+D168+D133+D101+D65+D33+D406+D442+D474+D509+D539+D374,2)</f>
        <v>2059.1999999999998</v>
      </c>
      <c r="E552" s="79" t="s">
        <v>81</v>
      </c>
    </row>
    <row r="553" spans="3:5" ht="21" hidden="1" customHeight="1" x14ac:dyDescent="0.25">
      <c r="C553" s="77" t="s">
        <v>80</v>
      </c>
      <c r="D553" s="78">
        <f>D102+D134+D169+D202+D306</f>
        <v>9.5</v>
      </c>
      <c r="E553" s="77" t="s">
        <v>76</v>
      </c>
    </row>
    <row r="554" spans="3:5" ht="21" hidden="1" customHeight="1" x14ac:dyDescent="0.25">
      <c r="C554" s="77" t="s">
        <v>79</v>
      </c>
      <c r="D554" s="78">
        <f>D103+D135+D170+D203+D307</f>
        <v>9.5</v>
      </c>
      <c r="E554" s="77" t="s">
        <v>76</v>
      </c>
    </row>
    <row r="555" spans="3:5" ht="21" hidden="1" customHeight="1" x14ac:dyDescent="0.25">
      <c r="C555" s="77" t="s">
        <v>78</v>
      </c>
      <c r="D555" s="78">
        <f>D338</f>
        <v>2.5</v>
      </c>
      <c r="E555" s="77" t="s">
        <v>76</v>
      </c>
    </row>
    <row r="556" spans="3:5" ht="21" hidden="1" customHeight="1" x14ac:dyDescent="0.25">
      <c r="C556" s="77" t="s">
        <v>77</v>
      </c>
      <c r="D556" s="78">
        <f>D339</f>
        <v>2.5</v>
      </c>
      <c r="E556" s="77" t="s">
        <v>76</v>
      </c>
    </row>
    <row r="557" spans="3:5" ht="42" customHeight="1" x14ac:dyDescent="0.2">
      <c r="C557" s="76" t="s">
        <v>75</v>
      </c>
      <c r="D557" s="75">
        <f>ROUND(D340+D308+D272+D240+D204+D171+D136+D104+D68+D36+D409+D445+D477+D512+D377,2)</f>
        <v>149.91</v>
      </c>
      <c r="E557" s="74" t="s">
        <v>74</v>
      </c>
    </row>
    <row r="565" spans="3:5" ht="13.5" thickBot="1" x14ac:dyDescent="0.25">
      <c r="C565" s="180"/>
      <c r="D565" s="180"/>
      <c r="E565" s="180"/>
    </row>
    <row r="566" spans="3:5" ht="15.75" thickTop="1" x14ac:dyDescent="0.2">
      <c r="C566" s="181" t="s">
        <v>241</v>
      </c>
      <c r="D566" s="181"/>
      <c r="E566" s="181"/>
    </row>
    <row r="567" spans="3:5" ht="15" x14ac:dyDescent="0.2">
      <c r="C567" s="279" t="s">
        <v>242</v>
      </c>
      <c r="D567" s="279"/>
      <c r="E567" s="279"/>
    </row>
    <row r="568" spans="3:5" x14ac:dyDescent="0.2">
      <c r="C568" s="182"/>
      <c r="D568" s="182"/>
      <c r="E568" s="182"/>
    </row>
    <row r="569" spans="3:5" ht="15" x14ac:dyDescent="0.2">
      <c r="C569" s="183"/>
      <c r="D569" s="183"/>
      <c r="E569" s="183"/>
    </row>
    <row r="570" spans="3:5" ht="15" x14ac:dyDescent="0.2">
      <c r="C570" s="279"/>
      <c r="D570" s="279"/>
      <c r="E570" s="279"/>
    </row>
    <row r="571" spans="3:5" x14ac:dyDescent="0.2">
      <c r="C571" s="182"/>
      <c r="D571" s="182"/>
      <c r="E571" s="182"/>
    </row>
    <row r="572" spans="3:5" ht="15" x14ac:dyDescent="0.2">
      <c r="C572" s="183"/>
      <c r="D572" s="183"/>
      <c r="E572" s="183"/>
    </row>
    <row r="573" spans="3:5" ht="15" x14ac:dyDescent="0.2">
      <c r="C573" s="279"/>
      <c r="D573" s="279"/>
      <c r="E573" s="279"/>
    </row>
  </sheetData>
  <mergeCells count="28">
    <mergeCell ref="C275:F275"/>
    <mergeCell ref="C278:F278"/>
    <mergeCell ref="C311:F311"/>
    <mergeCell ref="C542:E542"/>
    <mergeCell ref="C71:F71"/>
    <mergeCell ref="C107:F107"/>
    <mergeCell ref="C139:F139"/>
    <mergeCell ref="C141:F141"/>
    <mergeCell ref="C174:F174"/>
    <mergeCell ref="C74:F74"/>
    <mergeCell ref="C344:F344"/>
    <mergeCell ref="C380:F380"/>
    <mergeCell ref="C412:F412"/>
    <mergeCell ref="C448:F448"/>
    <mergeCell ref="C3:F3"/>
    <mergeCell ref="C6:F6"/>
    <mergeCell ref="C39:F39"/>
    <mergeCell ref="C207:F207"/>
    <mergeCell ref="C210:F210"/>
    <mergeCell ref="C243:F243"/>
    <mergeCell ref="C567:E567"/>
    <mergeCell ref="C570:E570"/>
    <mergeCell ref="C573:E573"/>
    <mergeCell ref="C347:F347"/>
    <mergeCell ref="C515:F515"/>
    <mergeCell ref="C517:F517"/>
    <mergeCell ref="C480:F480"/>
    <mergeCell ref="C482:F482"/>
  </mergeCells>
  <printOptions horizontalCentered="1"/>
  <pageMargins left="1.1811023622047245" right="0.78740157480314965" top="1.1811023622047245" bottom="0.78740157480314965" header="0.31496062992125984" footer="0.70866141732283472"/>
  <pageSetup paperSize="9" scale="50" orientation="portrait" r:id="rId1"/>
  <headerFooter alignWithMargins="0">
    <oddFooter>&amp;R&amp;12Página &amp;P de &amp;N</oddFooter>
  </headerFooter>
  <rowBreaks count="8" manualBreakCount="8">
    <brk id="69" min="1" max="6" man="1"/>
    <brk id="137" min="1" max="6" man="1"/>
    <brk id="205" min="1" max="6" man="1"/>
    <brk id="273" min="1" max="6" man="1"/>
    <brk id="341" min="1" max="6" man="1"/>
    <brk id="410" min="1" max="6" man="1"/>
    <brk id="478" min="1" max="6" man="1"/>
    <brk id="540" min="1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447"/>
  <sheetViews>
    <sheetView view="pageBreakPreview" zoomScale="50" zoomScaleNormal="75" zoomScaleSheetLayoutView="50" workbookViewId="0">
      <selection activeCell="C1" sqref="C1:K1"/>
    </sheetView>
  </sheetViews>
  <sheetFormatPr defaultRowHeight="12.75" x14ac:dyDescent="0.2"/>
  <cols>
    <col min="1" max="1" width="8.7109375" style="121" customWidth="1"/>
    <col min="2" max="2" width="47" style="120" customWidth="1"/>
    <col min="3" max="3" width="14.5703125" style="120" customWidth="1"/>
    <col min="4" max="4" width="19.7109375" style="120" customWidth="1"/>
    <col min="5" max="5" width="22" style="120" customWidth="1"/>
    <col min="6" max="13" width="22" style="120" bestFit="1" customWidth="1"/>
    <col min="14" max="14" width="22" style="120" customWidth="1"/>
    <col min="15" max="15" width="22" style="120" bestFit="1" customWidth="1"/>
    <col min="16" max="16" width="18" style="120" customWidth="1"/>
    <col min="17" max="17" width="26.140625" style="120" customWidth="1"/>
    <col min="18" max="18" width="7.42578125" style="120" customWidth="1"/>
    <col min="19" max="19" width="16.85546875" style="120" bestFit="1" customWidth="1"/>
    <col min="20" max="21" width="9.140625" style="120"/>
    <col min="22" max="22" width="12.7109375" style="120" bestFit="1" customWidth="1"/>
    <col min="23" max="16384" width="9.140625" style="120"/>
  </cols>
  <sheetData>
    <row r="1" spans="1:196" s="174" customFormat="1" ht="39.75" customHeight="1" thickTop="1" x14ac:dyDescent="0.25">
      <c r="A1" s="398" t="s">
        <v>14</v>
      </c>
      <c r="B1" s="399"/>
      <c r="C1" s="400" t="s">
        <v>412</v>
      </c>
      <c r="D1" s="401"/>
      <c r="E1" s="401"/>
      <c r="F1" s="401"/>
      <c r="G1" s="401"/>
      <c r="H1" s="401"/>
      <c r="I1" s="401"/>
      <c r="J1" s="401"/>
      <c r="K1" s="401"/>
      <c r="L1" s="402" t="s">
        <v>130</v>
      </c>
      <c r="M1" s="403"/>
      <c r="N1" s="404" t="s">
        <v>409</v>
      </c>
      <c r="O1" s="405"/>
      <c r="P1" s="406"/>
      <c r="Q1" s="175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  <c r="DK1" s="120"/>
      <c r="DL1" s="120"/>
      <c r="DM1" s="120"/>
      <c r="DN1" s="120"/>
      <c r="DO1" s="120"/>
      <c r="DP1" s="120"/>
      <c r="DQ1" s="120"/>
      <c r="DR1" s="120"/>
      <c r="DS1" s="120"/>
      <c r="DT1" s="120"/>
      <c r="DU1" s="120"/>
      <c r="DV1" s="120"/>
      <c r="DW1" s="120"/>
      <c r="DX1" s="120"/>
      <c r="DY1" s="120"/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/>
      <c r="EP1" s="120"/>
      <c r="EQ1" s="120"/>
      <c r="ER1" s="120"/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/>
      <c r="FF1" s="120"/>
      <c r="FG1" s="120"/>
      <c r="FH1" s="120"/>
      <c r="FI1" s="120"/>
      <c r="FJ1" s="120"/>
      <c r="FK1" s="120"/>
      <c r="FL1" s="120"/>
      <c r="FM1" s="120"/>
      <c r="FN1" s="120"/>
      <c r="FO1" s="120"/>
      <c r="FP1" s="120"/>
      <c r="FQ1" s="120"/>
      <c r="FR1" s="120"/>
      <c r="FS1" s="120"/>
      <c r="FT1" s="120"/>
      <c r="FU1" s="120"/>
      <c r="FV1" s="120"/>
      <c r="FW1" s="120"/>
      <c r="FX1" s="120"/>
      <c r="FY1" s="120"/>
      <c r="FZ1" s="120"/>
      <c r="GA1" s="120"/>
      <c r="GB1" s="120"/>
      <c r="GC1" s="120"/>
      <c r="GD1" s="120"/>
      <c r="GE1" s="120"/>
      <c r="GF1" s="120"/>
      <c r="GG1" s="120"/>
      <c r="GH1" s="120"/>
      <c r="GI1" s="120"/>
      <c r="GJ1" s="120"/>
      <c r="GK1" s="120"/>
      <c r="GL1" s="120"/>
      <c r="GM1" s="120"/>
      <c r="GN1" s="120"/>
    </row>
    <row r="2" spans="1:196" ht="24.95" customHeight="1" x14ac:dyDescent="0.25">
      <c r="A2" s="407" t="s">
        <v>15</v>
      </c>
      <c r="B2" s="408"/>
      <c r="C2" s="409" t="s">
        <v>129</v>
      </c>
      <c r="D2" s="410"/>
      <c r="E2" s="411" t="s">
        <v>21</v>
      </c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3"/>
      <c r="Q2" s="173"/>
    </row>
    <row r="3" spans="1:196" ht="53.25" customHeight="1" thickBot="1" x14ac:dyDescent="0.3">
      <c r="A3" s="383" t="s">
        <v>10</v>
      </c>
      <c r="B3" s="384"/>
      <c r="C3" s="385" t="s">
        <v>11</v>
      </c>
      <c r="D3" s="386"/>
      <c r="E3" s="387" t="s">
        <v>398</v>
      </c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9"/>
      <c r="Q3" s="172"/>
    </row>
    <row r="4" spans="1:196" ht="24.95" customHeight="1" thickBot="1" x14ac:dyDescent="0.25">
      <c r="A4" s="171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69"/>
    </row>
    <row r="5" spans="1:196" s="129" customFormat="1" ht="24.95" customHeight="1" thickBot="1" x14ac:dyDescent="0.3">
      <c r="A5" s="390" t="s">
        <v>7</v>
      </c>
      <c r="B5" s="168" t="s">
        <v>128</v>
      </c>
      <c r="C5" s="167" t="s">
        <v>127</v>
      </c>
      <c r="D5" s="392" t="s">
        <v>140</v>
      </c>
      <c r="E5" s="393"/>
      <c r="F5" s="393"/>
      <c r="G5" s="393"/>
      <c r="H5" s="393"/>
      <c r="I5" s="394"/>
      <c r="J5" s="393"/>
      <c r="K5" s="393"/>
      <c r="L5" s="393"/>
      <c r="M5" s="393"/>
      <c r="N5" s="393"/>
      <c r="O5" s="395"/>
      <c r="P5" s="396" t="s">
        <v>126</v>
      </c>
      <c r="Q5" s="375" t="s">
        <v>125</v>
      </c>
    </row>
    <row r="6" spans="1:196" s="129" customFormat="1" ht="28.5" customHeight="1" thickBot="1" x14ac:dyDescent="0.3">
      <c r="A6" s="391"/>
      <c r="B6" s="166" t="s">
        <v>124</v>
      </c>
      <c r="C6" s="165" t="s">
        <v>123</v>
      </c>
      <c r="D6" s="164">
        <v>1</v>
      </c>
      <c r="E6" s="164">
        <v>2</v>
      </c>
      <c r="F6" s="164">
        <v>3</v>
      </c>
      <c r="G6" s="164">
        <v>4</v>
      </c>
      <c r="H6" s="164">
        <v>5</v>
      </c>
      <c r="I6" s="164">
        <v>6</v>
      </c>
      <c r="J6" s="164">
        <v>7</v>
      </c>
      <c r="K6" s="164">
        <v>8</v>
      </c>
      <c r="L6" s="164">
        <v>9</v>
      </c>
      <c r="M6" s="164">
        <v>10</v>
      </c>
      <c r="N6" s="164">
        <v>11</v>
      </c>
      <c r="O6" s="163">
        <v>12</v>
      </c>
      <c r="P6" s="397"/>
      <c r="Q6" s="376"/>
    </row>
    <row r="7" spans="1:196" ht="24.95" customHeight="1" x14ac:dyDescent="0.25">
      <c r="A7" s="293">
        <v>1</v>
      </c>
      <c r="B7" s="377" t="str">
        <f>'PLANILHA ORÇAMENTÁRIA'!C8</f>
        <v>Canteiro de obras</v>
      </c>
      <c r="C7" s="379"/>
      <c r="D7" s="161">
        <f>ROUND('PLANILHA ORÇAMENTÁRIA'!$H$12/12,2)</f>
        <v>7218.51</v>
      </c>
      <c r="E7" s="161">
        <f>ROUND('PLANILHA ORÇAMENTÁRIA'!$H$12/12,2)</f>
        <v>7218.51</v>
      </c>
      <c r="F7" s="161">
        <f>ROUND('PLANILHA ORÇAMENTÁRIA'!$H$12/12,2)</f>
        <v>7218.51</v>
      </c>
      <c r="G7" s="161">
        <f>ROUND('PLANILHA ORÇAMENTÁRIA'!$H$12/12,2)</f>
        <v>7218.51</v>
      </c>
      <c r="H7" s="161">
        <f>ROUND('PLANILHA ORÇAMENTÁRIA'!$H$12/12,2)</f>
        <v>7218.51</v>
      </c>
      <c r="I7" s="161">
        <f>ROUND('PLANILHA ORÇAMENTÁRIA'!$H$12/12,2)</f>
        <v>7218.51</v>
      </c>
      <c r="J7" s="161">
        <f>ROUND('PLANILHA ORÇAMENTÁRIA'!$H$12/12,2)</f>
        <v>7218.51</v>
      </c>
      <c r="K7" s="161">
        <f>ROUND('PLANILHA ORÇAMENTÁRIA'!$H$12/12,2)</f>
        <v>7218.51</v>
      </c>
      <c r="L7" s="161">
        <f>ROUND('PLANILHA ORÇAMENTÁRIA'!$H$12/12,2)</f>
        <v>7218.51</v>
      </c>
      <c r="M7" s="161">
        <f>ROUND('PLANILHA ORÇAMENTÁRIA'!$H$12/12,2)</f>
        <v>7218.51</v>
      </c>
      <c r="N7" s="161">
        <f>ROUND('PLANILHA ORÇAMENTÁRIA'!$H$12/12,2)</f>
        <v>7218.51</v>
      </c>
      <c r="O7" s="161">
        <f>ROUND('PLANILHA ORÇAMENTÁRIA'!$H$12/12,2)-0.02</f>
        <v>7218.49</v>
      </c>
      <c r="P7" s="381"/>
      <c r="Q7" s="301">
        <f>SUM(C7:O7)</f>
        <v>86622.1</v>
      </c>
      <c r="R7" s="129"/>
      <c r="S7" s="129"/>
    </row>
    <row r="8" spans="1:196" ht="9.9499999999999993" customHeight="1" thickBot="1" x14ac:dyDescent="0.3">
      <c r="A8" s="294"/>
      <c r="B8" s="378"/>
      <c r="C8" s="380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382"/>
      <c r="Q8" s="302"/>
      <c r="R8" s="129"/>
      <c r="S8" s="129"/>
    </row>
    <row r="9" spans="1:196" ht="30.75" customHeight="1" x14ac:dyDescent="0.25">
      <c r="A9" s="293">
        <v>2</v>
      </c>
      <c r="B9" s="295" t="str">
        <f>'PLANILHA ORÇAMENTÁRIA'!C14</f>
        <v>Serviços preliminares</v>
      </c>
      <c r="C9" s="297"/>
      <c r="D9" s="161">
        <f>ROUND('PLANILHA ORÇAMENTÁRIA'!$H$19/12,2)</f>
        <v>1508.93</v>
      </c>
      <c r="E9" s="161">
        <f>ROUND('PLANILHA ORÇAMENTÁRIA'!$H$19/12,2)</f>
        <v>1508.93</v>
      </c>
      <c r="F9" s="161">
        <f>ROUND('PLANILHA ORÇAMENTÁRIA'!$H$19/12,2)</f>
        <v>1508.93</v>
      </c>
      <c r="G9" s="161">
        <f>ROUND('PLANILHA ORÇAMENTÁRIA'!$H$19/12,2)</f>
        <v>1508.93</v>
      </c>
      <c r="H9" s="161">
        <f>ROUND('PLANILHA ORÇAMENTÁRIA'!$H$19/12,2)</f>
        <v>1508.93</v>
      </c>
      <c r="I9" s="161">
        <f>ROUND('PLANILHA ORÇAMENTÁRIA'!$H$19/12,2)</f>
        <v>1508.93</v>
      </c>
      <c r="J9" s="161">
        <f>ROUND('PLANILHA ORÇAMENTÁRIA'!$H$19/12,2)</f>
        <v>1508.93</v>
      </c>
      <c r="K9" s="161">
        <f>ROUND('PLANILHA ORÇAMENTÁRIA'!$H$19/12,2)</f>
        <v>1508.93</v>
      </c>
      <c r="L9" s="161">
        <f>ROUND('PLANILHA ORÇAMENTÁRIA'!$H$19/12,2)</f>
        <v>1508.93</v>
      </c>
      <c r="M9" s="161">
        <f>ROUND('PLANILHA ORÇAMENTÁRIA'!$H$19/12,2)</f>
        <v>1508.93</v>
      </c>
      <c r="N9" s="161">
        <f>ROUND('PLANILHA ORÇAMENTÁRIA'!$H$19/12,2)</f>
        <v>1508.93</v>
      </c>
      <c r="O9" s="161">
        <f>ROUND('PLANILHA ORÇAMENTÁRIA'!$H$19/12,2)-0.04</f>
        <v>1508.89</v>
      </c>
      <c r="P9" s="299"/>
      <c r="Q9" s="301">
        <f>SUM(C9:O9)</f>
        <v>18107.12</v>
      </c>
      <c r="R9" s="129"/>
      <c r="S9" s="129"/>
    </row>
    <row r="10" spans="1:196" ht="9.9499999999999993" customHeight="1" thickBot="1" x14ac:dyDescent="0.3">
      <c r="A10" s="294"/>
      <c r="B10" s="296"/>
      <c r="C10" s="29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300"/>
      <c r="Q10" s="302"/>
      <c r="R10" s="129"/>
      <c r="S10" s="129"/>
    </row>
    <row r="11" spans="1:196" ht="30.75" customHeight="1" x14ac:dyDescent="0.25">
      <c r="A11" s="293">
        <v>3</v>
      </c>
      <c r="B11" s="295" t="str">
        <f>'PLANILHA ORÇAMENTÁRIA'!C23</f>
        <v>Serviços técnicos - Locação e cadastro</v>
      </c>
      <c r="C11" s="297"/>
      <c r="D11" s="161"/>
      <c r="E11" s="160"/>
      <c r="F11" s="160"/>
      <c r="G11" s="160"/>
      <c r="H11" s="160"/>
      <c r="I11" s="160"/>
      <c r="J11" s="160"/>
      <c r="K11" s="160"/>
      <c r="L11" s="160">
        <f>ROUND('PLANILHA ORÇAMENTÁRIA'!$H$29/4,2)</f>
        <v>31023.439999999999</v>
      </c>
      <c r="M11" s="160">
        <f>ROUND('PLANILHA ORÇAMENTÁRIA'!$H$29/4,2)</f>
        <v>31023.439999999999</v>
      </c>
      <c r="N11" s="160">
        <f>ROUND('PLANILHA ORÇAMENTÁRIA'!$H$29/4,2)</f>
        <v>31023.439999999999</v>
      </c>
      <c r="O11" s="160">
        <f>ROUND('PLANILHA ORÇAMENTÁRIA'!$H$29/4,2)-0.01</f>
        <v>31023.43</v>
      </c>
      <c r="P11" s="299"/>
      <c r="Q11" s="301">
        <f>SUM(C11:O11)</f>
        <v>124093.75</v>
      </c>
      <c r="R11" s="129"/>
      <c r="S11" s="129"/>
    </row>
    <row r="12" spans="1:196" ht="9.9499999999999993" customHeight="1" thickBot="1" x14ac:dyDescent="0.3">
      <c r="A12" s="294"/>
      <c r="B12" s="296"/>
      <c r="C12" s="298"/>
      <c r="D12" s="161"/>
      <c r="E12" s="159"/>
      <c r="F12" s="160"/>
      <c r="G12" s="160"/>
      <c r="H12" s="160"/>
      <c r="I12" s="160"/>
      <c r="J12" s="160"/>
      <c r="K12" s="160"/>
      <c r="L12" s="178"/>
      <c r="M12" s="178"/>
      <c r="N12" s="178"/>
      <c r="O12" s="178"/>
      <c r="P12" s="300"/>
      <c r="Q12" s="302"/>
      <c r="R12" s="129"/>
      <c r="S12" s="129"/>
    </row>
    <row r="13" spans="1:196" ht="52.5" customHeight="1" x14ac:dyDescent="0.25">
      <c r="A13" s="293">
        <v>4</v>
      </c>
      <c r="B13" s="295" t="str">
        <f>'PLANILHA ORÇAMENTÁRIA'!C31</f>
        <v>Serviços de substituição de rede por método não destrutivo</v>
      </c>
      <c r="C13" s="297"/>
      <c r="D13" s="161">
        <f>ROUND('PLANILHA ORÇAMENTÁRIA'!$H$37/12,2)</f>
        <v>317892.53999999998</v>
      </c>
      <c r="E13" s="161">
        <f>ROUND('PLANILHA ORÇAMENTÁRIA'!$H$37/12,2)</f>
        <v>317892.53999999998</v>
      </c>
      <c r="F13" s="161">
        <f>ROUND('PLANILHA ORÇAMENTÁRIA'!$H$37/12,2)</f>
        <v>317892.53999999998</v>
      </c>
      <c r="G13" s="161">
        <f>ROUND('PLANILHA ORÇAMENTÁRIA'!$H$37/12,2)</f>
        <v>317892.53999999998</v>
      </c>
      <c r="H13" s="161">
        <f>ROUND('PLANILHA ORÇAMENTÁRIA'!$H$37/12,2)</f>
        <v>317892.53999999998</v>
      </c>
      <c r="I13" s="161">
        <f>ROUND('PLANILHA ORÇAMENTÁRIA'!$H$37/12,2)</f>
        <v>317892.53999999998</v>
      </c>
      <c r="J13" s="161">
        <f>ROUND('PLANILHA ORÇAMENTÁRIA'!$H$37/12,2)</f>
        <v>317892.53999999998</v>
      </c>
      <c r="K13" s="161">
        <f>ROUND('PLANILHA ORÇAMENTÁRIA'!$H$37/12,2)</f>
        <v>317892.53999999998</v>
      </c>
      <c r="L13" s="161">
        <f>ROUND('PLANILHA ORÇAMENTÁRIA'!$H$37/12,2)</f>
        <v>317892.53999999998</v>
      </c>
      <c r="M13" s="161">
        <f>ROUND('PLANILHA ORÇAMENTÁRIA'!$H$37/12,2)</f>
        <v>317892.53999999998</v>
      </c>
      <c r="N13" s="161">
        <f>ROUND('PLANILHA ORÇAMENTÁRIA'!$H$37/12,2)</f>
        <v>317892.53999999998</v>
      </c>
      <c r="O13" s="161">
        <f>ROUND('PLANILHA ORÇAMENTÁRIA'!$H$37/12,2)+0.05</f>
        <v>317892.58999999997</v>
      </c>
      <c r="P13" s="299"/>
      <c r="Q13" s="301">
        <f>SUM(C13:O13)</f>
        <v>3814710.53</v>
      </c>
      <c r="R13" s="129"/>
      <c r="S13" s="129"/>
    </row>
    <row r="14" spans="1:196" ht="9.9499999999999993" customHeight="1" thickBot="1" x14ac:dyDescent="0.3">
      <c r="A14" s="294"/>
      <c r="B14" s="374"/>
      <c r="C14" s="298"/>
      <c r="D14" s="178"/>
      <c r="E14" s="178"/>
      <c r="F14" s="178"/>
      <c r="G14" s="178"/>
      <c r="H14" s="177"/>
      <c r="I14" s="177"/>
      <c r="J14" s="177"/>
      <c r="K14" s="177"/>
      <c r="L14" s="177"/>
      <c r="M14" s="177"/>
      <c r="N14" s="177"/>
      <c r="O14" s="177"/>
      <c r="P14" s="300"/>
      <c r="Q14" s="302"/>
      <c r="R14" s="129"/>
      <c r="S14" s="129"/>
    </row>
    <row r="15" spans="1:196" ht="49.5" customHeight="1" x14ac:dyDescent="0.25">
      <c r="A15" s="293">
        <v>5</v>
      </c>
      <c r="B15" s="372" t="str">
        <f>'PLANILHA ORÇAMENTÁRIA'!C39</f>
        <v>Troca de ramais de água e passagem/ligação nova de água</v>
      </c>
      <c r="C15" s="297"/>
      <c r="D15" s="161">
        <f>ROUND('PLANILHA ORÇAMENTÁRIA'!$H$44/12,2)</f>
        <v>68437.5</v>
      </c>
      <c r="E15" s="161">
        <f>ROUND('PLANILHA ORÇAMENTÁRIA'!$H$44/12,2)</f>
        <v>68437.5</v>
      </c>
      <c r="F15" s="161">
        <f>ROUND('PLANILHA ORÇAMENTÁRIA'!$H$44/12,2)</f>
        <v>68437.5</v>
      </c>
      <c r="G15" s="161">
        <f>ROUND('PLANILHA ORÇAMENTÁRIA'!$H$44/12,2)</f>
        <v>68437.5</v>
      </c>
      <c r="H15" s="161">
        <f>ROUND('PLANILHA ORÇAMENTÁRIA'!$H$44/12,2)</f>
        <v>68437.5</v>
      </c>
      <c r="I15" s="161">
        <f>ROUND('PLANILHA ORÇAMENTÁRIA'!$H$44/12,2)</f>
        <v>68437.5</v>
      </c>
      <c r="J15" s="161">
        <f>ROUND('PLANILHA ORÇAMENTÁRIA'!$H$44/12,2)</f>
        <v>68437.5</v>
      </c>
      <c r="K15" s="161">
        <f>ROUND('PLANILHA ORÇAMENTÁRIA'!$H$44/12,2)</f>
        <v>68437.5</v>
      </c>
      <c r="L15" s="161">
        <f>ROUND('PLANILHA ORÇAMENTÁRIA'!$H$44/12,2)</f>
        <v>68437.5</v>
      </c>
      <c r="M15" s="161">
        <f>ROUND('PLANILHA ORÇAMENTÁRIA'!$H$44/12,2)</f>
        <v>68437.5</v>
      </c>
      <c r="N15" s="161">
        <f>ROUND('PLANILHA ORÇAMENTÁRIA'!$H$44/12,2)</f>
        <v>68437.5</v>
      </c>
      <c r="O15" s="161">
        <f>ROUND('PLANILHA ORÇAMENTÁRIA'!$H$44/12,2)</f>
        <v>68437.5</v>
      </c>
      <c r="P15" s="299"/>
      <c r="Q15" s="301">
        <f>SUM(C15:O15)</f>
        <v>821250</v>
      </c>
      <c r="R15" s="129"/>
      <c r="S15" s="129"/>
    </row>
    <row r="16" spans="1:196" ht="9.9499999999999993" customHeight="1" thickBot="1" x14ac:dyDescent="0.3">
      <c r="A16" s="294"/>
      <c r="B16" s="373"/>
      <c r="C16" s="298"/>
      <c r="D16" s="178"/>
      <c r="E16" s="178"/>
      <c r="F16" s="178"/>
      <c r="G16" s="178"/>
      <c r="H16" s="177"/>
      <c r="I16" s="177"/>
      <c r="J16" s="177"/>
      <c r="K16" s="177"/>
      <c r="L16" s="177"/>
      <c r="M16" s="177"/>
      <c r="N16" s="177"/>
      <c r="O16" s="177"/>
      <c r="P16" s="300"/>
      <c r="Q16" s="302"/>
      <c r="R16" s="129"/>
      <c r="S16" s="129"/>
    </row>
    <row r="17" spans="1:23" ht="51" customHeight="1" x14ac:dyDescent="0.25">
      <c r="A17" s="293">
        <v>6</v>
      </c>
      <c r="B17" s="372" t="str">
        <f>'PLANILHA ORÇAMENTÁRIA'!C46</f>
        <v>Detecção, descobrimento e nivelamento de registro</v>
      </c>
      <c r="C17" s="297"/>
      <c r="D17" s="161">
        <f>ROUND('PLANILHA ORÇAMENTÁRIA'!$H$50/12,2)</f>
        <v>955.58</v>
      </c>
      <c r="E17" s="161">
        <f>ROUND('PLANILHA ORÇAMENTÁRIA'!$H$50/12,2)</f>
        <v>955.58</v>
      </c>
      <c r="F17" s="161">
        <f>ROUND('PLANILHA ORÇAMENTÁRIA'!$H$50/12,2)</f>
        <v>955.58</v>
      </c>
      <c r="G17" s="161">
        <f>ROUND('PLANILHA ORÇAMENTÁRIA'!$H$50/12,2)</f>
        <v>955.58</v>
      </c>
      <c r="H17" s="161">
        <f>ROUND('PLANILHA ORÇAMENTÁRIA'!$H$50/12,2)</f>
        <v>955.58</v>
      </c>
      <c r="I17" s="161">
        <f>ROUND('PLANILHA ORÇAMENTÁRIA'!$H$50/12,2)</f>
        <v>955.58</v>
      </c>
      <c r="J17" s="161">
        <f>ROUND('PLANILHA ORÇAMENTÁRIA'!$H$50/12,2)</f>
        <v>955.58</v>
      </c>
      <c r="K17" s="161">
        <f>ROUND('PLANILHA ORÇAMENTÁRIA'!$H$50/12,2)</f>
        <v>955.58</v>
      </c>
      <c r="L17" s="161">
        <f>ROUND('PLANILHA ORÇAMENTÁRIA'!$H$50/12,2)</f>
        <v>955.58</v>
      </c>
      <c r="M17" s="161">
        <f>ROUND('PLANILHA ORÇAMENTÁRIA'!$H$50/12,2)</f>
        <v>955.58</v>
      </c>
      <c r="N17" s="161">
        <f>ROUND('PLANILHA ORÇAMENTÁRIA'!$H$50/12,2)</f>
        <v>955.58</v>
      </c>
      <c r="O17" s="161">
        <f>ROUND('PLANILHA ORÇAMENTÁRIA'!$H$50/12,2)-0.06</f>
        <v>955.5200000000001</v>
      </c>
      <c r="P17" s="299"/>
      <c r="Q17" s="301">
        <f>SUM(C17:O17)</f>
        <v>11466.900000000001</v>
      </c>
      <c r="R17" s="129"/>
      <c r="S17" s="129"/>
    </row>
    <row r="18" spans="1:23" ht="9.75" customHeight="1" thickBot="1" x14ac:dyDescent="0.3">
      <c r="A18" s="294"/>
      <c r="B18" s="373"/>
      <c r="C18" s="298"/>
      <c r="D18" s="178"/>
      <c r="E18" s="178"/>
      <c r="F18" s="177"/>
      <c r="G18" s="177"/>
      <c r="H18" s="177"/>
      <c r="I18" s="178"/>
      <c r="J18" s="178"/>
      <c r="K18" s="178"/>
      <c r="L18" s="178"/>
      <c r="M18" s="178"/>
      <c r="N18" s="178"/>
      <c r="O18" s="178"/>
      <c r="P18" s="300"/>
      <c r="Q18" s="302"/>
      <c r="R18" s="129"/>
      <c r="S18" s="129"/>
    </row>
    <row r="19" spans="1:23" ht="33.75" customHeight="1" x14ac:dyDescent="0.25">
      <c r="A19" s="293">
        <v>7</v>
      </c>
      <c r="B19" s="372" t="str">
        <f>'PLANILHA ORÇAMENTÁRIA'!C52</f>
        <v>Abertura e fechamento de cava</v>
      </c>
      <c r="C19" s="297"/>
      <c r="D19" s="161">
        <f>ROUND('PLANILHA ORÇAMENTÁRIA'!$H$61/12,2)</f>
        <v>20072.91</v>
      </c>
      <c r="E19" s="161">
        <f>ROUND('PLANILHA ORÇAMENTÁRIA'!$H$61/12,2)</f>
        <v>20072.91</v>
      </c>
      <c r="F19" s="161">
        <f>ROUND('PLANILHA ORÇAMENTÁRIA'!$H$61/12,2)</f>
        <v>20072.91</v>
      </c>
      <c r="G19" s="161">
        <f>ROUND('PLANILHA ORÇAMENTÁRIA'!$H$61/12,2)</f>
        <v>20072.91</v>
      </c>
      <c r="H19" s="161">
        <f>ROUND('PLANILHA ORÇAMENTÁRIA'!$H$61/12,2)</f>
        <v>20072.91</v>
      </c>
      <c r="I19" s="161">
        <f>ROUND('PLANILHA ORÇAMENTÁRIA'!$H$61/12,2)</f>
        <v>20072.91</v>
      </c>
      <c r="J19" s="161">
        <f>ROUND('PLANILHA ORÇAMENTÁRIA'!$H$61/12,2)</f>
        <v>20072.91</v>
      </c>
      <c r="K19" s="161">
        <f>ROUND('PLANILHA ORÇAMENTÁRIA'!$H$61/12,2)</f>
        <v>20072.91</v>
      </c>
      <c r="L19" s="161">
        <f>ROUND('PLANILHA ORÇAMENTÁRIA'!$H$61/12,2)</f>
        <v>20072.91</v>
      </c>
      <c r="M19" s="161">
        <f>ROUND('PLANILHA ORÇAMENTÁRIA'!$H$61/12,2)</f>
        <v>20072.91</v>
      </c>
      <c r="N19" s="161">
        <f>ROUND('PLANILHA ORÇAMENTÁRIA'!$H$61/12,2)</f>
        <v>20072.91</v>
      </c>
      <c r="O19" s="161">
        <f>ROUND('PLANILHA ORÇAMENTÁRIA'!$H$61/12,2)-0.01</f>
        <v>20072.900000000001</v>
      </c>
      <c r="P19" s="299"/>
      <c r="Q19" s="301">
        <f>SUM(C19:O19)</f>
        <v>240874.91</v>
      </c>
      <c r="R19" s="129"/>
      <c r="S19" s="129"/>
    </row>
    <row r="20" spans="1:23" ht="9.9499999999999993" customHeight="1" thickBot="1" x14ac:dyDescent="0.3">
      <c r="A20" s="294"/>
      <c r="B20" s="373"/>
      <c r="C20" s="298"/>
      <c r="D20" s="178"/>
      <c r="E20" s="178"/>
      <c r="F20" s="177"/>
      <c r="G20" s="177"/>
      <c r="H20" s="178"/>
      <c r="I20" s="177"/>
      <c r="J20" s="178"/>
      <c r="K20" s="178"/>
      <c r="L20" s="178"/>
      <c r="M20" s="178"/>
      <c r="N20" s="178"/>
      <c r="O20" s="178"/>
      <c r="P20" s="300"/>
      <c r="Q20" s="302"/>
      <c r="R20" s="129"/>
      <c r="S20" s="129"/>
    </row>
    <row r="21" spans="1:23" ht="45.75" customHeight="1" x14ac:dyDescent="0.25">
      <c r="A21" s="293">
        <v>8</v>
      </c>
      <c r="B21" s="372" t="str">
        <f>'PLANILHA ORÇAMENTÁRIA'!C63</f>
        <v>Fornecimento e Instalação de válvulas e registros</v>
      </c>
      <c r="C21" s="297"/>
      <c r="D21" s="161">
        <f>ROUND('PLANILHA ORÇAMENTÁRIA'!$H$84/12,2)</f>
        <v>1910.37</v>
      </c>
      <c r="E21" s="161">
        <f>ROUND('PLANILHA ORÇAMENTÁRIA'!$H$84/12,2)</f>
        <v>1910.37</v>
      </c>
      <c r="F21" s="161">
        <f>ROUND('PLANILHA ORÇAMENTÁRIA'!$H$84/12,2)</f>
        <v>1910.37</v>
      </c>
      <c r="G21" s="161">
        <f>ROUND('PLANILHA ORÇAMENTÁRIA'!$H$84/12,2)</f>
        <v>1910.37</v>
      </c>
      <c r="H21" s="161">
        <f>ROUND('PLANILHA ORÇAMENTÁRIA'!$H$84/12,2)</f>
        <v>1910.37</v>
      </c>
      <c r="I21" s="161">
        <f>ROUND('PLANILHA ORÇAMENTÁRIA'!$H$84/12,2)</f>
        <v>1910.37</v>
      </c>
      <c r="J21" s="161">
        <f>ROUND('PLANILHA ORÇAMENTÁRIA'!$H$84/12,2)</f>
        <v>1910.37</v>
      </c>
      <c r="K21" s="161">
        <f>ROUND('PLANILHA ORÇAMENTÁRIA'!$H$84/12,2)</f>
        <v>1910.37</v>
      </c>
      <c r="L21" s="161">
        <f>ROUND('PLANILHA ORÇAMENTÁRIA'!$H$84/12,2)</f>
        <v>1910.37</v>
      </c>
      <c r="M21" s="161">
        <f>ROUND('PLANILHA ORÇAMENTÁRIA'!$H$84/12,2)</f>
        <v>1910.37</v>
      </c>
      <c r="N21" s="161">
        <f>ROUND('PLANILHA ORÇAMENTÁRIA'!$H$84/12,2)</f>
        <v>1910.37</v>
      </c>
      <c r="O21" s="161">
        <f>ROUND('PLANILHA ORÇAMENTÁRIA'!$H$84/12,2)-0.06</f>
        <v>1910.31</v>
      </c>
      <c r="P21" s="299"/>
      <c r="Q21" s="301">
        <f>SUM(C21:O21)</f>
        <v>22924.379999999994</v>
      </c>
      <c r="R21" s="129"/>
      <c r="S21" s="129"/>
    </row>
    <row r="22" spans="1:23" ht="9.9499999999999993" customHeight="1" thickBot="1" x14ac:dyDescent="0.3">
      <c r="A22" s="294"/>
      <c r="B22" s="372"/>
      <c r="C22" s="297"/>
      <c r="D22" s="178"/>
      <c r="E22" s="178"/>
      <c r="F22" s="178"/>
      <c r="G22" s="178"/>
      <c r="H22" s="177"/>
      <c r="I22" s="177"/>
      <c r="J22" s="177"/>
      <c r="K22" s="177"/>
      <c r="L22" s="177"/>
      <c r="M22" s="177"/>
      <c r="N22" s="177"/>
      <c r="O22" s="177"/>
      <c r="P22" s="300"/>
      <c r="Q22" s="302"/>
      <c r="R22" s="129"/>
      <c r="S22" s="129"/>
    </row>
    <row r="23" spans="1:23" ht="46.5" customHeight="1" x14ac:dyDescent="0.25">
      <c r="A23" s="293">
        <v>9</v>
      </c>
      <c r="B23" s="372" t="str">
        <f>'PLANILHA ORÇAMENTÁRIA'!C86</f>
        <v>Recomposição de pavimentação asfáltica/ calçada</v>
      </c>
      <c r="C23" s="297"/>
      <c r="D23" s="161"/>
      <c r="E23" s="215">
        <f>ROUND('PLANILHA ORÇAMENTÁRIA'!$H$96/11,2)</f>
        <v>9796.82</v>
      </c>
      <c r="F23" s="215">
        <f>ROUND('PLANILHA ORÇAMENTÁRIA'!$H$96/11,2)</f>
        <v>9796.82</v>
      </c>
      <c r="G23" s="215">
        <f>ROUND('PLANILHA ORÇAMENTÁRIA'!$H$96/11,2)</f>
        <v>9796.82</v>
      </c>
      <c r="H23" s="215">
        <f>ROUND('PLANILHA ORÇAMENTÁRIA'!$H$96/11,2)</f>
        <v>9796.82</v>
      </c>
      <c r="I23" s="215">
        <f>ROUND('PLANILHA ORÇAMENTÁRIA'!$H$96/11,2)</f>
        <v>9796.82</v>
      </c>
      <c r="J23" s="215">
        <f>ROUND('PLANILHA ORÇAMENTÁRIA'!$H$96/11,2)</f>
        <v>9796.82</v>
      </c>
      <c r="K23" s="215">
        <f>ROUND('PLANILHA ORÇAMENTÁRIA'!$H$96/11,2)</f>
        <v>9796.82</v>
      </c>
      <c r="L23" s="215">
        <f>ROUND('PLANILHA ORÇAMENTÁRIA'!$H$96/11,2)</f>
        <v>9796.82</v>
      </c>
      <c r="M23" s="215">
        <f>ROUND('PLANILHA ORÇAMENTÁRIA'!$H$96/11,2)</f>
        <v>9796.82</v>
      </c>
      <c r="N23" s="215">
        <f>ROUND('PLANILHA ORÇAMENTÁRIA'!$H$96/11,2)</f>
        <v>9796.82</v>
      </c>
      <c r="O23" s="215">
        <f>ROUND('PLANILHA ORÇAMENTÁRIA'!$H$96/11,2)-0.01</f>
        <v>9796.81</v>
      </c>
      <c r="P23" s="299"/>
      <c r="Q23" s="301">
        <f>SUM(C23:O23)</f>
        <v>107765.01000000001</v>
      </c>
      <c r="R23" s="129"/>
      <c r="S23" s="179"/>
    </row>
    <row r="24" spans="1:23" ht="9.9499999999999993" customHeight="1" thickBot="1" x14ac:dyDescent="0.3">
      <c r="A24" s="294"/>
      <c r="B24" s="372"/>
      <c r="C24" s="297"/>
      <c r="D24" s="161"/>
      <c r="E24" s="178"/>
      <c r="F24" s="178"/>
      <c r="G24" s="178"/>
      <c r="H24" s="177"/>
      <c r="I24" s="177"/>
      <c r="J24" s="177"/>
      <c r="K24" s="177"/>
      <c r="L24" s="177"/>
      <c r="M24" s="177"/>
      <c r="N24" s="177"/>
      <c r="O24" s="177"/>
      <c r="P24" s="300"/>
      <c r="Q24" s="302"/>
      <c r="R24" s="129"/>
      <c r="S24" s="129"/>
    </row>
    <row r="25" spans="1:23" ht="54" customHeight="1" x14ac:dyDescent="0.25">
      <c r="A25" s="293">
        <v>10</v>
      </c>
      <c r="B25" s="372" t="str">
        <f>'PLANILHA ORÇAMENTÁRIA'!C99</f>
        <v>Execução de caixa de abrigo para medidor de vazão</v>
      </c>
      <c r="C25" s="297"/>
      <c r="D25" s="161"/>
      <c r="E25" s="162"/>
      <c r="F25" s="160"/>
      <c r="G25" s="160"/>
      <c r="H25" s="160"/>
      <c r="I25" s="160"/>
      <c r="J25" s="160"/>
      <c r="K25" s="160"/>
      <c r="L25" s="160"/>
      <c r="M25" s="160"/>
      <c r="N25" s="160"/>
      <c r="O25" s="160">
        <f>'PLANILHA ORÇAMENTÁRIA'!H125</f>
        <v>6247.56</v>
      </c>
      <c r="P25" s="299"/>
      <c r="Q25" s="301">
        <f>SUM(C25:O25)</f>
        <v>6247.56</v>
      </c>
      <c r="R25" s="129"/>
      <c r="S25" s="179"/>
    </row>
    <row r="26" spans="1:23" ht="9.9499999999999993" customHeight="1" thickBot="1" x14ac:dyDescent="0.3">
      <c r="A26" s="294"/>
      <c r="B26" s="372"/>
      <c r="C26" s="297"/>
      <c r="D26" s="161"/>
      <c r="E26" s="160"/>
      <c r="F26" s="160"/>
      <c r="G26" s="160"/>
      <c r="H26" s="159"/>
      <c r="I26" s="159"/>
      <c r="J26" s="159"/>
      <c r="K26" s="159"/>
      <c r="L26" s="159"/>
      <c r="M26" s="159"/>
      <c r="N26" s="159"/>
      <c r="O26" s="177"/>
      <c r="P26" s="300"/>
      <c r="Q26" s="302"/>
      <c r="R26" s="129"/>
      <c r="S26" s="129"/>
    </row>
    <row r="27" spans="1:23" ht="54" customHeight="1" x14ac:dyDescent="0.25">
      <c r="A27" s="293">
        <v>11</v>
      </c>
      <c r="B27" s="372" t="str">
        <f>'PLANILHA ORÇAMENTÁRIA'!C128</f>
        <v>Fornecimento e instalação de medidor de vazão</v>
      </c>
      <c r="C27" s="297"/>
      <c r="D27" s="161"/>
      <c r="E27" s="162"/>
      <c r="F27" s="160"/>
      <c r="G27" s="160"/>
      <c r="H27" s="160"/>
      <c r="I27" s="160"/>
      <c r="J27" s="160"/>
      <c r="K27" s="160"/>
      <c r="L27" s="160"/>
      <c r="M27" s="160"/>
      <c r="N27" s="160"/>
      <c r="O27" s="160">
        <f>'PLANILHA ORÇAMENTÁRIA'!H149</f>
        <v>34275.870000000003</v>
      </c>
      <c r="P27" s="299"/>
      <c r="Q27" s="301">
        <f>SUM(C27:O27)</f>
        <v>34275.870000000003</v>
      </c>
      <c r="R27" s="129"/>
      <c r="S27" s="179"/>
    </row>
    <row r="28" spans="1:23" ht="9.9499999999999993" customHeight="1" thickBot="1" x14ac:dyDescent="0.3">
      <c r="A28" s="294"/>
      <c r="B28" s="372"/>
      <c r="C28" s="297"/>
      <c r="D28" s="161"/>
      <c r="E28" s="160"/>
      <c r="F28" s="160"/>
      <c r="G28" s="160"/>
      <c r="H28" s="159"/>
      <c r="I28" s="159"/>
      <c r="J28" s="159"/>
      <c r="K28" s="159"/>
      <c r="L28" s="159"/>
      <c r="M28" s="159"/>
      <c r="N28" s="159"/>
      <c r="O28" s="177"/>
      <c r="P28" s="300"/>
      <c r="Q28" s="302"/>
      <c r="R28" s="129"/>
      <c r="S28" s="129"/>
    </row>
    <row r="29" spans="1:23" ht="24.95" customHeight="1" x14ac:dyDescent="0.25">
      <c r="A29" s="365"/>
      <c r="B29" s="367"/>
      <c r="C29" s="297"/>
      <c r="D29" s="161"/>
      <c r="E29" s="160"/>
      <c r="F29" s="160"/>
      <c r="G29" s="160"/>
      <c r="H29" s="159"/>
      <c r="I29" s="159"/>
      <c r="J29" s="159"/>
      <c r="K29" s="159"/>
      <c r="L29" s="159"/>
      <c r="M29" s="159"/>
      <c r="N29" s="159"/>
      <c r="O29" s="159"/>
      <c r="P29" s="299"/>
      <c r="Q29" s="301">
        <f>SUM(C29:P29)</f>
        <v>0</v>
      </c>
      <c r="R29" s="155"/>
      <c r="S29" s="129"/>
      <c r="U29" s="123"/>
      <c r="V29" s="123"/>
      <c r="W29" s="123"/>
    </row>
    <row r="30" spans="1:23" ht="9.9499999999999993" customHeight="1" thickBot="1" x14ac:dyDescent="0.3">
      <c r="A30" s="366"/>
      <c r="B30" s="368"/>
      <c r="C30" s="369"/>
      <c r="D30" s="158"/>
      <c r="E30" s="157"/>
      <c r="F30" s="157"/>
      <c r="G30" s="157"/>
      <c r="H30" s="156"/>
      <c r="I30" s="156"/>
      <c r="J30" s="156"/>
      <c r="K30" s="156"/>
      <c r="L30" s="156"/>
      <c r="M30" s="156"/>
      <c r="N30" s="156"/>
      <c r="O30" s="156"/>
      <c r="P30" s="370"/>
      <c r="Q30" s="302"/>
      <c r="R30" s="155"/>
      <c r="S30" s="129"/>
      <c r="U30" s="123"/>
      <c r="V30" s="123"/>
      <c r="W30" s="123"/>
    </row>
    <row r="31" spans="1:23" ht="24.95" customHeight="1" thickBot="1" x14ac:dyDescent="0.3">
      <c r="A31" s="371" t="s">
        <v>0</v>
      </c>
      <c r="B31" s="358"/>
      <c r="C31" s="150">
        <v>1</v>
      </c>
      <c r="D31" s="150">
        <f t="shared" ref="D31:O31" si="0">SUM(D7:D30)</f>
        <v>417996.33999999997</v>
      </c>
      <c r="E31" s="150">
        <f t="shared" si="0"/>
        <v>427793.16</v>
      </c>
      <c r="F31" s="150">
        <f t="shared" si="0"/>
        <v>427793.16</v>
      </c>
      <c r="G31" s="150">
        <f t="shared" si="0"/>
        <v>427793.16</v>
      </c>
      <c r="H31" s="150">
        <f t="shared" si="0"/>
        <v>427793.16</v>
      </c>
      <c r="I31" s="150">
        <f t="shared" si="0"/>
        <v>427793.16</v>
      </c>
      <c r="J31" s="150">
        <f t="shared" si="0"/>
        <v>427793.16</v>
      </c>
      <c r="K31" s="150">
        <f t="shared" si="0"/>
        <v>427793.16</v>
      </c>
      <c r="L31" s="150">
        <f t="shared" si="0"/>
        <v>458816.6</v>
      </c>
      <c r="M31" s="150">
        <f t="shared" si="0"/>
        <v>458816.6</v>
      </c>
      <c r="N31" s="150">
        <f t="shared" si="0"/>
        <v>458816.6</v>
      </c>
      <c r="O31" s="150">
        <f t="shared" si="0"/>
        <v>499339.87</v>
      </c>
      <c r="P31" s="154"/>
      <c r="Q31" s="150">
        <f>SUM(D31:O31)</f>
        <v>5288338.13</v>
      </c>
      <c r="R31" s="129"/>
      <c r="S31" s="179"/>
    </row>
    <row r="32" spans="1:23" ht="24.95" customHeight="1" thickBot="1" x14ac:dyDescent="0.3">
      <c r="A32" s="355" t="s">
        <v>1</v>
      </c>
      <c r="B32" s="356"/>
      <c r="C32" s="151">
        <f>951900.86/5288338.13</f>
        <v>0.17999999935707592</v>
      </c>
      <c r="D32" s="151">
        <f>D31*$C$32</f>
        <v>75239.340931260085</v>
      </c>
      <c r="E32" s="151">
        <f t="shared" ref="E32:O32" si="1">E31*$C$32</f>
        <v>77002.768524961473</v>
      </c>
      <c r="F32" s="151">
        <f t="shared" si="1"/>
        <v>77002.768524961473</v>
      </c>
      <c r="G32" s="151">
        <f t="shared" si="1"/>
        <v>77002.768524961473</v>
      </c>
      <c r="H32" s="151">
        <f t="shared" si="1"/>
        <v>77002.768524961473</v>
      </c>
      <c r="I32" s="151">
        <f t="shared" si="1"/>
        <v>77002.768524961473</v>
      </c>
      <c r="J32" s="151">
        <f t="shared" si="1"/>
        <v>77002.768524961473</v>
      </c>
      <c r="K32" s="151">
        <f t="shared" si="1"/>
        <v>77002.768524961473</v>
      </c>
      <c r="L32" s="151">
        <f t="shared" si="1"/>
        <v>82586.987705015752</v>
      </c>
      <c r="M32" s="151">
        <f t="shared" si="1"/>
        <v>82586.987705015752</v>
      </c>
      <c r="N32" s="151">
        <f t="shared" si="1"/>
        <v>82586.987705015752</v>
      </c>
      <c r="O32" s="151">
        <f t="shared" si="1"/>
        <v>89881.176278962375</v>
      </c>
      <c r="P32" s="153"/>
      <c r="Q32" s="150">
        <f>SUM(D32:O32)</f>
        <v>951900.86000000022</v>
      </c>
      <c r="R32" s="129"/>
      <c r="S32" s="179"/>
    </row>
    <row r="33" spans="1:126" ht="24.95" customHeight="1" thickBot="1" x14ac:dyDescent="0.3">
      <c r="A33" s="357" t="s">
        <v>122</v>
      </c>
      <c r="B33" s="358"/>
      <c r="C33" s="150">
        <f>1-C32</f>
        <v>0.82000000064292411</v>
      </c>
      <c r="D33" s="151">
        <f t="shared" ref="D33:O33" si="2">D31*$C$33</f>
        <v>342756.99906873988</v>
      </c>
      <c r="E33" s="151">
        <f t="shared" si="2"/>
        <v>350790.39147503849</v>
      </c>
      <c r="F33" s="151">
        <f>F31*$C$33</f>
        <v>350790.39147503849</v>
      </c>
      <c r="G33" s="151">
        <f t="shared" si="2"/>
        <v>350790.39147503849</v>
      </c>
      <c r="H33" s="151">
        <f t="shared" si="2"/>
        <v>350790.39147503849</v>
      </c>
      <c r="I33" s="151">
        <f t="shared" si="2"/>
        <v>350790.39147503849</v>
      </c>
      <c r="J33" s="151">
        <f t="shared" si="2"/>
        <v>350790.39147503849</v>
      </c>
      <c r="K33" s="151">
        <f t="shared" si="2"/>
        <v>350790.39147503849</v>
      </c>
      <c r="L33" s="151">
        <f t="shared" si="2"/>
        <v>376229.61229498422</v>
      </c>
      <c r="M33" s="151">
        <f t="shared" si="2"/>
        <v>376229.61229498422</v>
      </c>
      <c r="N33" s="151">
        <f t="shared" si="2"/>
        <v>376229.61229498422</v>
      </c>
      <c r="O33" s="151">
        <f t="shared" si="2"/>
        <v>409458.69372103765</v>
      </c>
      <c r="P33" s="153"/>
      <c r="Q33" s="152">
        <f>SUM(D33:O33)</f>
        <v>4336437.2699999996</v>
      </c>
      <c r="R33" s="129"/>
      <c r="S33" s="129"/>
    </row>
    <row r="34" spans="1:126" s="148" customFormat="1" ht="59.25" customHeight="1" thickBot="1" x14ac:dyDescent="0.3">
      <c r="A34" s="359" t="s">
        <v>121</v>
      </c>
      <c r="B34" s="360"/>
      <c r="C34" s="360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0">
        <f>SUM(D34:P34)</f>
        <v>0</v>
      </c>
      <c r="R34" s="149"/>
      <c r="S34" s="210"/>
      <c r="T34" s="149"/>
      <c r="U34" s="149"/>
      <c r="V34" s="120"/>
      <c r="W34" s="149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0"/>
      <c r="CD34" s="120"/>
      <c r="CE34" s="120"/>
      <c r="CF34" s="120"/>
      <c r="CG34" s="120"/>
      <c r="CH34" s="120"/>
      <c r="CI34" s="120"/>
      <c r="CJ34" s="120"/>
      <c r="CK34" s="120"/>
      <c r="CL34" s="120"/>
      <c r="CM34" s="120"/>
      <c r="CN34" s="120"/>
      <c r="CO34" s="120"/>
      <c r="CP34" s="120"/>
      <c r="CQ34" s="120"/>
      <c r="CR34" s="120"/>
      <c r="CS34" s="120"/>
      <c r="CT34" s="120"/>
      <c r="CU34" s="120"/>
      <c r="CV34" s="120"/>
      <c r="CW34" s="120"/>
      <c r="CX34" s="120"/>
      <c r="CY34" s="120"/>
      <c r="CZ34" s="120"/>
      <c r="DA34" s="120"/>
      <c r="DB34" s="120"/>
      <c r="DC34" s="120"/>
      <c r="DD34" s="120"/>
      <c r="DE34" s="120"/>
      <c r="DF34" s="120"/>
      <c r="DG34" s="120"/>
      <c r="DH34" s="120"/>
      <c r="DI34" s="120"/>
      <c r="DJ34" s="120"/>
      <c r="DK34" s="120"/>
      <c r="DL34" s="120"/>
      <c r="DM34" s="120"/>
      <c r="DN34" s="120"/>
      <c r="DO34" s="120"/>
      <c r="DP34" s="120"/>
      <c r="DQ34" s="120"/>
      <c r="DR34" s="120"/>
      <c r="DS34" s="120"/>
      <c r="DT34" s="120"/>
      <c r="DU34" s="120"/>
      <c r="DV34" s="120"/>
    </row>
    <row r="35" spans="1:126" ht="30" customHeight="1" thickBot="1" x14ac:dyDescent="0.3">
      <c r="A35" s="361" t="s">
        <v>120</v>
      </c>
      <c r="B35" s="362"/>
      <c r="C35" s="363"/>
      <c r="D35" s="147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5"/>
      <c r="Q35" s="144">
        <f>SUM(D35:P35)</f>
        <v>0</v>
      </c>
      <c r="R35" s="129"/>
      <c r="S35" s="129"/>
    </row>
    <row r="36" spans="1:126" ht="28.5" customHeight="1" thickBot="1" x14ac:dyDescent="0.3">
      <c r="A36" s="361" t="s">
        <v>119</v>
      </c>
      <c r="B36" s="362"/>
      <c r="C36" s="363"/>
      <c r="D36" s="143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1"/>
      <c r="Q36" s="140">
        <f>SUM(D36:P36)</f>
        <v>0</v>
      </c>
      <c r="R36" s="129"/>
      <c r="S36" s="129"/>
    </row>
    <row r="37" spans="1:126" ht="19.5" customHeight="1" thickBot="1" x14ac:dyDescent="0.3">
      <c r="A37" s="139"/>
      <c r="B37" s="138"/>
      <c r="C37" s="137"/>
      <c r="D37" s="135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5"/>
      <c r="Q37" s="134"/>
      <c r="R37" s="129"/>
      <c r="S37" s="129"/>
    </row>
    <row r="38" spans="1:126" ht="19.5" customHeight="1" x14ac:dyDescent="0.3">
      <c r="A38" s="364" t="s">
        <v>118</v>
      </c>
      <c r="B38" s="352"/>
      <c r="C38" s="352"/>
      <c r="D38" s="353"/>
      <c r="E38" s="351" t="s">
        <v>117</v>
      </c>
      <c r="F38" s="352"/>
      <c r="G38" s="352"/>
      <c r="H38" s="352"/>
      <c r="I38" s="352"/>
      <c r="J38" s="352"/>
      <c r="K38" s="353"/>
      <c r="L38" s="351" t="s">
        <v>116</v>
      </c>
      <c r="M38" s="352"/>
      <c r="N38" s="352"/>
      <c r="O38" s="352"/>
      <c r="P38" s="352"/>
      <c r="Q38" s="353"/>
      <c r="R38" s="129"/>
      <c r="S38" s="129"/>
    </row>
    <row r="39" spans="1:126" s="130" customFormat="1" ht="45" customHeight="1" x14ac:dyDescent="0.25">
      <c r="A39" s="133" t="s">
        <v>115</v>
      </c>
      <c r="B39" s="347" t="s">
        <v>243</v>
      </c>
      <c r="C39" s="354"/>
      <c r="D39" s="348"/>
      <c r="E39" s="132" t="s">
        <v>114</v>
      </c>
      <c r="F39" s="347" t="s">
        <v>131</v>
      </c>
      <c r="G39" s="354"/>
      <c r="H39" s="354"/>
      <c r="I39" s="354"/>
      <c r="J39" s="354"/>
      <c r="K39" s="348"/>
      <c r="L39" s="315" t="s">
        <v>113</v>
      </c>
      <c r="M39" s="316"/>
      <c r="N39" s="343"/>
      <c r="O39" s="343"/>
      <c r="P39" s="343"/>
      <c r="Q39" s="344"/>
    </row>
    <row r="40" spans="1:126" s="130" customFormat="1" ht="45" customHeight="1" x14ac:dyDescent="0.25">
      <c r="A40" s="345" t="s">
        <v>109</v>
      </c>
      <c r="B40" s="346"/>
      <c r="C40" s="347">
        <v>5061923291</v>
      </c>
      <c r="D40" s="348"/>
      <c r="E40" s="340" t="s">
        <v>132</v>
      </c>
      <c r="F40" s="349"/>
      <c r="G40" s="350"/>
      <c r="H40" s="312" t="s">
        <v>133</v>
      </c>
      <c r="I40" s="313"/>
      <c r="J40" s="313"/>
      <c r="K40" s="314"/>
      <c r="L40" s="315" t="s">
        <v>109</v>
      </c>
      <c r="M40" s="316"/>
      <c r="N40" s="343"/>
      <c r="O40" s="343"/>
      <c r="P40" s="343"/>
      <c r="Q40" s="344"/>
    </row>
    <row r="41" spans="1:126" s="130" customFormat="1" ht="84.75" customHeight="1" thickBot="1" x14ac:dyDescent="0.3">
      <c r="A41" s="318"/>
      <c r="B41" s="319"/>
      <c r="C41" s="319"/>
      <c r="D41" s="320"/>
      <c r="E41" s="414" t="s">
        <v>108</v>
      </c>
      <c r="F41" s="415"/>
      <c r="G41" s="415"/>
      <c r="H41" s="415"/>
      <c r="I41" s="415"/>
      <c r="J41" s="415"/>
      <c r="K41" s="416"/>
      <c r="L41" s="327" t="s">
        <v>108</v>
      </c>
      <c r="M41" s="328"/>
      <c r="N41" s="328"/>
      <c r="O41" s="328"/>
      <c r="P41" s="328"/>
      <c r="Q41" s="329"/>
    </row>
    <row r="42" spans="1:126" s="130" customFormat="1" ht="27.75" customHeight="1" thickBot="1" x14ac:dyDescent="0.3">
      <c r="A42" s="321"/>
      <c r="B42" s="322"/>
      <c r="C42" s="322"/>
      <c r="D42" s="323"/>
      <c r="E42" s="330" t="s">
        <v>112</v>
      </c>
      <c r="F42" s="331"/>
      <c r="G42" s="331"/>
      <c r="H42" s="331"/>
      <c r="I42" s="331"/>
      <c r="J42" s="331"/>
      <c r="K42" s="332"/>
      <c r="L42" s="333" t="s">
        <v>111</v>
      </c>
      <c r="M42" s="334"/>
      <c r="N42" s="335"/>
      <c r="O42" s="335"/>
      <c r="P42" s="335"/>
      <c r="Q42" s="336"/>
    </row>
    <row r="43" spans="1:126" s="130" customFormat="1" ht="45" customHeight="1" x14ac:dyDescent="0.25">
      <c r="A43" s="321"/>
      <c r="B43" s="322"/>
      <c r="C43" s="322"/>
      <c r="D43" s="323"/>
      <c r="E43" s="131" t="s">
        <v>110</v>
      </c>
      <c r="F43" s="337"/>
      <c r="G43" s="338"/>
      <c r="H43" s="338"/>
      <c r="I43" s="338"/>
      <c r="J43" s="338"/>
      <c r="K43" s="339"/>
      <c r="L43" s="333"/>
      <c r="M43" s="334"/>
      <c r="N43" s="335"/>
      <c r="O43" s="335"/>
      <c r="P43" s="335"/>
      <c r="Q43" s="336"/>
    </row>
    <row r="44" spans="1:126" ht="45" customHeight="1" x14ac:dyDescent="0.25">
      <c r="A44" s="324"/>
      <c r="B44" s="325"/>
      <c r="C44" s="325"/>
      <c r="D44" s="326"/>
      <c r="E44" s="340" t="s">
        <v>414</v>
      </c>
      <c r="F44" s="341"/>
      <c r="G44" s="342"/>
      <c r="H44" s="312" t="s">
        <v>413</v>
      </c>
      <c r="I44" s="313"/>
      <c r="J44" s="313"/>
      <c r="K44" s="314"/>
      <c r="L44" s="315" t="s">
        <v>109</v>
      </c>
      <c r="M44" s="316"/>
      <c r="N44" s="343"/>
      <c r="O44" s="343"/>
      <c r="P44" s="343"/>
      <c r="Q44" s="344"/>
      <c r="R44" s="129"/>
      <c r="S44" s="129"/>
    </row>
    <row r="45" spans="1:126" ht="85.5" customHeight="1" thickBot="1" x14ac:dyDescent="0.3">
      <c r="A45" s="303" t="s">
        <v>108</v>
      </c>
      <c r="B45" s="304"/>
      <c r="C45" s="304"/>
      <c r="D45" s="305"/>
      <c r="E45" s="306" t="s">
        <v>108</v>
      </c>
      <c r="F45" s="307"/>
      <c r="G45" s="307"/>
      <c r="H45" s="307"/>
      <c r="I45" s="307"/>
      <c r="J45" s="307"/>
      <c r="K45" s="308"/>
      <c r="L45" s="309" t="s">
        <v>108</v>
      </c>
      <c r="M45" s="310"/>
      <c r="N45" s="310"/>
      <c r="O45" s="310"/>
      <c r="P45" s="310"/>
      <c r="Q45" s="311"/>
      <c r="R45" s="129"/>
      <c r="S45" s="129"/>
    </row>
    <row r="46" spans="1:126" ht="18" customHeight="1" x14ac:dyDescent="0.25">
      <c r="A46" s="120"/>
      <c r="D46" s="128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6"/>
      <c r="S46" s="126"/>
    </row>
    <row r="47" spans="1:126" ht="10.5" customHeight="1" x14ac:dyDescent="0.2">
      <c r="A47" s="317"/>
      <c r="B47" s="317"/>
      <c r="C47" s="317"/>
      <c r="D47" s="317"/>
      <c r="E47" s="317"/>
      <c r="F47" s="317"/>
      <c r="G47" s="317"/>
      <c r="H47" s="317"/>
      <c r="I47" s="317"/>
      <c r="J47" s="317"/>
      <c r="K47" s="317"/>
      <c r="L47" s="317"/>
      <c r="M47" s="317"/>
      <c r="N47" s="317"/>
      <c r="O47" s="317"/>
      <c r="P47" s="317"/>
      <c r="Q47" s="317"/>
      <c r="R47" s="124"/>
      <c r="S47" s="122"/>
      <c r="T47" s="125"/>
    </row>
    <row r="48" spans="1:126" ht="10.5" customHeight="1" x14ac:dyDescent="0.2">
      <c r="A48" s="317"/>
      <c r="B48" s="317"/>
      <c r="C48" s="317"/>
      <c r="D48" s="317"/>
      <c r="E48" s="317"/>
      <c r="F48" s="317"/>
      <c r="G48" s="317"/>
      <c r="H48" s="317"/>
      <c r="I48" s="317"/>
      <c r="J48" s="317"/>
      <c r="K48" s="317"/>
      <c r="L48" s="317"/>
      <c r="M48" s="317"/>
      <c r="N48" s="317"/>
      <c r="O48" s="317"/>
      <c r="P48" s="317"/>
      <c r="Q48" s="317"/>
      <c r="R48" s="124"/>
      <c r="S48" s="122"/>
    </row>
    <row r="49" spans="1:20" ht="10.5" customHeight="1" x14ac:dyDescent="0.2">
      <c r="A49" s="317"/>
      <c r="B49" s="317"/>
      <c r="C49" s="317"/>
      <c r="D49" s="317"/>
      <c r="E49" s="317"/>
      <c r="F49" s="317"/>
      <c r="G49" s="317"/>
      <c r="H49" s="317"/>
      <c r="I49" s="317"/>
      <c r="J49" s="317"/>
      <c r="K49" s="317"/>
      <c r="L49" s="317"/>
      <c r="M49" s="317"/>
      <c r="N49" s="317"/>
      <c r="O49" s="317"/>
      <c r="P49" s="317"/>
      <c r="Q49" s="317"/>
      <c r="R49" s="124"/>
      <c r="S49" s="122"/>
      <c r="T49" s="125"/>
    </row>
    <row r="50" spans="1:20" ht="10.5" customHeight="1" x14ac:dyDescent="0.2">
      <c r="A50" s="317"/>
      <c r="B50" s="317"/>
      <c r="C50" s="317"/>
      <c r="D50" s="317"/>
      <c r="E50" s="317"/>
      <c r="F50" s="317"/>
      <c r="G50" s="317"/>
      <c r="H50" s="317"/>
      <c r="I50" s="317"/>
      <c r="J50" s="317"/>
      <c r="K50" s="317"/>
      <c r="L50" s="317"/>
      <c r="M50" s="317"/>
      <c r="N50" s="317"/>
      <c r="O50" s="317"/>
      <c r="P50" s="317"/>
      <c r="Q50" s="317"/>
      <c r="R50" s="124"/>
      <c r="S50" s="122"/>
    </row>
    <row r="51" spans="1:20" x14ac:dyDescent="0.2">
      <c r="A51" s="123"/>
      <c r="B51" s="123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</row>
    <row r="52" spans="1:20" x14ac:dyDescent="0.2">
      <c r="A52" s="120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</row>
    <row r="53" spans="1:20" x14ac:dyDescent="0.2">
      <c r="A53" s="120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</row>
    <row r="54" spans="1:20" x14ac:dyDescent="0.2">
      <c r="A54" s="120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</row>
    <row r="55" spans="1:20" x14ac:dyDescent="0.2">
      <c r="A55" s="120"/>
    </row>
    <row r="56" spans="1:20" x14ac:dyDescent="0.2">
      <c r="A56" s="120"/>
    </row>
    <row r="57" spans="1:20" x14ac:dyDescent="0.2">
      <c r="A57" s="120"/>
    </row>
    <row r="58" spans="1:20" x14ac:dyDescent="0.2">
      <c r="A58" s="120"/>
    </row>
    <row r="59" spans="1:20" x14ac:dyDescent="0.2">
      <c r="A59" s="120"/>
    </row>
    <row r="60" spans="1:20" x14ac:dyDescent="0.2">
      <c r="A60" s="120"/>
    </row>
    <row r="61" spans="1:20" x14ac:dyDescent="0.2">
      <c r="A61" s="120"/>
    </row>
    <row r="62" spans="1:20" x14ac:dyDescent="0.2">
      <c r="A62" s="120"/>
    </row>
    <row r="63" spans="1:20" x14ac:dyDescent="0.2">
      <c r="A63" s="120"/>
    </row>
    <row r="64" spans="1:20" x14ac:dyDescent="0.2">
      <c r="A64" s="120"/>
    </row>
    <row r="65" spans="1:1" x14ac:dyDescent="0.2">
      <c r="A65" s="120"/>
    </row>
    <row r="66" spans="1:1" x14ac:dyDescent="0.2">
      <c r="A66" s="120"/>
    </row>
    <row r="67" spans="1:1" x14ac:dyDescent="0.2">
      <c r="A67" s="120"/>
    </row>
    <row r="68" spans="1:1" x14ac:dyDescent="0.2">
      <c r="A68" s="120"/>
    </row>
    <row r="69" spans="1:1" x14ac:dyDescent="0.2">
      <c r="A69" s="120"/>
    </row>
    <row r="70" spans="1:1" x14ac:dyDescent="0.2">
      <c r="A70" s="120"/>
    </row>
    <row r="71" spans="1:1" x14ac:dyDescent="0.2">
      <c r="A71" s="120"/>
    </row>
    <row r="72" spans="1:1" x14ac:dyDescent="0.2">
      <c r="A72" s="120"/>
    </row>
    <row r="73" spans="1:1" x14ac:dyDescent="0.2">
      <c r="A73" s="120"/>
    </row>
    <row r="74" spans="1:1" x14ac:dyDescent="0.2">
      <c r="A74" s="120"/>
    </row>
    <row r="75" spans="1:1" x14ac:dyDescent="0.2">
      <c r="A75" s="120"/>
    </row>
    <row r="76" spans="1:1" x14ac:dyDescent="0.2">
      <c r="A76" s="120"/>
    </row>
    <row r="77" spans="1:1" x14ac:dyDescent="0.2">
      <c r="A77" s="120"/>
    </row>
    <row r="78" spans="1:1" x14ac:dyDescent="0.2">
      <c r="A78" s="120"/>
    </row>
    <row r="79" spans="1:1" x14ac:dyDescent="0.2">
      <c r="A79" s="120"/>
    </row>
    <row r="80" spans="1:1" x14ac:dyDescent="0.2">
      <c r="A80" s="120"/>
    </row>
    <row r="81" spans="1:1" x14ac:dyDescent="0.2">
      <c r="A81" s="120"/>
    </row>
    <row r="82" spans="1:1" x14ac:dyDescent="0.2">
      <c r="A82" s="120"/>
    </row>
    <row r="83" spans="1:1" x14ac:dyDescent="0.2">
      <c r="A83" s="120"/>
    </row>
    <row r="84" spans="1:1" x14ac:dyDescent="0.2">
      <c r="A84" s="120"/>
    </row>
    <row r="85" spans="1:1" x14ac:dyDescent="0.2">
      <c r="A85" s="120"/>
    </row>
    <row r="86" spans="1:1" x14ac:dyDescent="0.2">
      <c r="A86" s="120"/>
    </row>
    <row r="87" spans="1:1" x14ac:dyDescent="0.2">
      <c r="A87" s="120"/>
    </row>
    <row r="88" spans="1:1" x14ac:dyDescent="0.2">
      <c r="A88" s="120"/>
    </row>
    <row r="89" spans="1:1" x14ac:dyDescent="0.2">
      <c r="A89" s="120"/>
    </row>
    <row r="90" spans="1:1" x14ac:dyDescent="0.2">
      <c r="A90" s="120"/>
    </row>
    <row r="91" spans="1:1" x14ac:dyDescent="0.2">
      <c r="A91" s="120"/>
    </row>
    <row r="92" spans="1:1" x14ac:dyDescent="0.2">
      <c r="A92" s="120"/>
    </row>
    <row r="93" spans="1:1" x14ac:dyDescent="0.2">
      <c r="A93" s="120"/>
    </row>
    <row r="94" spans="1:1" x14ac:dyDescent="0.2">
      <c r="A94" s="120"/>
    </row>
    <row r="95" spans="1:1" x14ac:dyDescent="0.2">
      <c r="A95" s="120"/>
    </row>
    <row r="96" spans="1:1" x14ac:dyDescent="0.2">
      <c r="A96" s="120"/>
    </row>
    <row r="97" spans="1:1" x14ac:dyDescent="0.2">
      <c r="A97" s="120"/>
    </row>
    <row r="98" spans="1:1" x14ac:dyDescent="0.2">
      <c r="A98" s="120"/>
    </row>
    <row r="99" spans="1:1" x14ac:dyDescent="0.2">
      <c r="A99" s="120"/>
    </row>
    <row r="100" spans="1:1" x14ac:dyDescent="0.2">
      <c r="A100" s="120"/>
    </row>
    <row r="101" spans="1:1" x14ac:dyDescent="0.2">
      <c r="A101" s="120"/>
    </row>
    <row r="102" spans="1:1" x14ac:dyDescent="0.2">
      <c r="A102" s="120"/>
    </row>
    <row r="103" spans="1:1" x14ac:dyDescent="0.2">
      <c r="A103" s="120"/>
    </row>
    <row r="104" spans="1:1" x14ac:dyDescent="0.2">
      <c r="A104" s="120"/>
    </row>
    <row r="105" spans="1:1" x14ac:dyDescent="0.2">
      <c r="A105" s="120"/>
    </row>
    <row r="106" spans="1:1" x14ac:dyDescent="0.2">
      <c r="A106" s="120"/>
    </row>
    <row r="107" spans="1:1" x14ac:dyDescent="0.2">
      <c r="A107" s="120"/>
    </row>
    <row r="108" spans="1:1" x14ac:dyDescent="0.2">
      <c r="A108" s="120"/>
    </row>
    <row r="109" spans="1:1" x14ac:dyDescent="0.2">
      <c r="A109" s="120"/>
    </row>
    <row r="110" spans="1:1" x14ac:dyDescent="0.2">
      <c r="A110" s="120"/>
    </row>
    <row r="111" spans="1:1" x14ac:dyDescent="0.2">
      <c r="A111" s="120"/>
    </row>
    <row r="112" spans="1:1" x14ac:dyDescent="0.2">
      <c r="A112" s="120"/>
    </row>
    <row r="113" spans="1:1" x14ac:dyDescent="0.2">
      <c r="A113" s="120"/>
    </row>
    <row r="114" spans="1:1" x14ac:dyDescent="0.2">
      <c r="A114" s="120"/>
    </row>
    <row r="115" spans="1:1" x14ac:dyDescent="0.2">
      <c r="A115" s="120"/>
    </row>
    <row r="116" spans="1:1" x14ac:dyDescent="0.2">
      <c r="A116" s="120"/>
    </row>
    <row r="117" spans="1:1" x14ac:dyDescent="0.2">
      <c r="A117" s="120"/>
    </row>
    <row r="118" spans="1:1" x14ac:dyDescent="0.2">
      <c r="A118" s="120"/>
    </row>
    <row r="119" spans="1:1" x14ac:dyDescent="0.2">
      <c r="A119" s="120"/>
    </row>
    <row r="120" spans="1:1" x14ac:dyDescent="0.2">
      <c r="A120" s="120"/>
    </row>
    <row r="121" spans="1:1" x14ac:dyDescent="0.2">
      <c r="A121" s="120"/>
    </row>
    <row r="122" spans="1:1" x14ac:dyDescent="0.2">
      <c r="A122" s="120"/>
    </row>
    <row r="123" spans="1:1" x14ac:dyDescent="0.2">
      <c r="A123" s="120"/>
    </row>
    <row r="124" spans="1:1" x14ac:dyDescent="0.2">
      <c r="A124" s="120"/>
    </row>
    <row r="125" spans="1:1" x14ac:dyDescent="0.2">
      <c r="A125" s="120"/>
    </row>
    <row r="126" spans="1:1" x14ac:dyDescent="0.2">
      <c r="A126" s="120"/>
    </row>
    <row r="127" spans="1:1" x14ac:dyDescent="0.2">
      <c r="A127" s="120"/>
    </row>
    <row r="128" spans="1:1" x14ac:dyDescent="0.2">
      <c r="A128" s="120"/>
    </row>
    <row r="129" spans="1:1" x14ac:dyDescent="0.2">
      <c r="A129" s="120"/>
    </row>
    <row r="130" spans="1:1" x14ac:dyDescent="0.2">
      <c r="A130" s="120"/>
    </row>
    <row r="131" spans="1:1" x14ac:dyDescent="0.2">
      <c r="A131" s="120"/>
    </row>
    <row r="132" spans="1:1" x14ac:dyDescent="0.2">
      <c r="A132" s="120"/>
    </row>
    <row r="133" spans="1:1" x14ac:dyDescent="0.2">
      <c r="A133" s="120"/>
    </row>
    <row r="134" spans="1:1" x14ac:dyDescent="0.2">
      <c r="A134" s="120"/>
    </row>
    <row r="135" spans="1:1" x14ac:dyDescent="0.2">
      <c r="A135" s="120"/>
    </row>
    <row r="136" spans="1:1" x14ac:dyDescent="0.2">
      <c r="A136" s="120"/>
    </row>
    <row r="137" spans="1:1" x14ac:dyDescent="0.2">
      <c r="A137" s="120"/>
    </row>
    <row r="138" spans="1:1" x14ac:dyDescent="0.2">
      <c r="A138" s="120"/>
    </row>
    <row r="139" spans="1:1" x14ac:dyDescent="0.2">
      <c r="A139" s="120"/>
    </row>
    <row r="140" spans="1:1" x14ac:dyDescent="0.2">
      <c r="A140" s="120"/>
    </row>
    <row r="141" spans="1:1" x14ac:dyDescent="0.2">
      <c r="A141" s="120"/>
    </row>
    <row r="142" spans="1:1" x14ac:dyDescent="0.2">
      <c r="A142" s="120"/>
    </row>
    <row r="143" spans="1:1" x14ac:dyDescent="0.2">
      <c r="A143" s="120"/>
    </row>
    <row r="144" spans="1:1" x14ac:dyDescent="0.2">
      <c r="A144" s="120"/>
    </row>
    <row r="145" spans="1:1" x14ac:dyDescent="0.2">
      <c r="A145" s="120"/>
    </row>
    <row r="146" spans="1:1" x14ac:dyDescent="0.2">
      <c r="A146" s="120"/>
    </row>
    <row r="147" spans="1:1" x14ac:dyDescent="0.2">
      <c r="A147" s="120"/>
    </row>
    <row r="148" spans="1:1" x14ac:dyDescent="0.2">
      <c r="A148" s="120"/>
    </row>
    <row r="149" spans="1:1" x14ac:dyDescent="0.2">
      <c r="A149" s="120"/>
    </row>
    <row r="150" spans="1:1" x14ac:dyDescent="0.2">
      <c r="A150" s="120"/>
    </row>
    <row r="151" spans="1:1" x14ac:dyDescent="0.2">
      <c r="A151" s="120"/>
    </row>
    <row r="152" spans="1:1" x14ac:dyDescent="0.2">
      <c r="A152" s="120"/>
    </row>
    <row r="153" spans="1:1" x14ac:dyDescent="0.2">
      <c r="A153" s="120"/>
    </row>
    <row r="154" spans="1:1" x14ac:dyDescent="0.2">
      <c r="A154" s="120"/>
    </row>
    <row r="155" spans="1:1" x14ac:dyDescent="0.2">
      <c r="A155" s="120"/>
    </row>
    <row r="156" spans="1:1" x14ac:dyDescent="0.2">
      <c r="A156" s="120"/>
    </row>
    <row r="157" spans="1:1" x14ac:dyDescent="0.2">
      <c r="A157" s="120"/>
    </row>
    <row r="158" spans="1:1" x14ac:dyDescent="0.2">
      <c r="A158" s="120"/>
    </row>
    <row r="159" spans="1:1" x14ac:dyDescent="0.2">
      <c r="A159" s="120"/>
    </row>
    <row r="160" spans="1:1" x14ac:dyDescent="0.2">
      <c r="A160" s="120"/>
    </row>
    <row r="161" spans="1:1" x14ac:dyDescent="0.2">
      <c r="A161" s="120"/>
    </row>
    <row r="162" spans="1:1" x14ac:dyDescent="0.2">
      <c r="A162" s="120"/>
    </row>
    <row r="163" spans="1:1" x14ac:dyDescent="0.2">
      <c r="A163" s="120"/>
    </row>
    <row r="164" spans="1:1" x14ac:dyDescent="0.2">
      <c r="A164" s="120"/>
    </row>
    <row r="165" spans="1:1" x14ac:dyDescent="0.2">
      <c r="A165" s="120"/>
    </row>
    <row r="166" spans="1:1" x14ac:dyDescent="0.2">
      <c r="A166" s="120"/>
    </row>
    <row r="167" spans="1:1" x14ac:dyDescent="0.2">
      <c r="A167" s="120"/>
    </row>
    <row r="168" spans="1:1" x14ac:dyDescent="0.2">
      <c r="A168" s="120"/>
    </row>
    <row r="169" spans="1:1" x14ac:dyDescent="0.2">
      <c r="A169" s="120"/>
    </row>
    <row r="170" spans="1:1" x14ac:dyDescent="0.2">
      <c r="A170" s="120"/>
    </row>
    <row r="171" spans="1:1" x14ac:dyDescent="0.2">
      <c r="A171" s="120"/>
    </row>
    <row r="172" spans="1:1" x14ac:dyDescent="0.2">
      <c r="A172" s="120"/>
    </row>
    <row r="173" spans="1:1" x14ac:dyDescent="0.2">
      <c r="A173" s="120"/>
    </row>
    <row r="174" spans="1:1" x14ac:dyDescent="0.2">
      <c r="A174" s="120"/>
    </row>
    <row r="175" spans="1:1" x14ac:dyDescent="0.2">
      <c r="A175" s="120"/>
    </row>
    <row r="176" spans="1:1" x14ac:dyDescent="0.2">
      <c r="A176" s="120"/>
    </row>
    <row r="177" spans="1:1" x14ac:dyDescent="0.2">
      <c r="A177" s="120"/>
    </row>
    <row r="178" spans="1:1" x14ac:dyDescent="0.2">
      <c r="A178" s="120"/>
    </row>
    <row r="179" spans="1:1" x14ac:dyDescent="0.2">
      <c r="A179" s="120"/>
    </row>
    <row r="180" spans="1:1" x14ac:dyDescent="0.2">
      <c r="A180" s="120"/>
    </row>
    <row r="181" spans="1:1" x14ac:dyDescent="0.2">
      <c r="A181" s="120"/>
    </row>
    <row r="182" spans="1:1" x14ac:dyDescent="0.2">
      <c r="A182" s="120"/>
    </row>
    <row r="183" spans="1:1" x14ac:dyDescent="0.2">
      <c r="A183" s="120"/>
    </row>
    <row r="184" spans="1:1" x14ac:dyDescent="0.2">
      <c r="A184" s="120"/>
    </row>
    <row r="185" spans="1:1" x14ac:dyDescent="0.2">
      <c r="A185" s="120"/>
    </row>
    <row r="186" spans="1:1" x14ac:dyDescent="0.2">
      <c r="A186" s="120"/>
    </row>
    <row r="187" spans="1:1" x14ac:dyDescent="0.2">
      <c r="A187" s="120"/>
    </row>
    <row r="188" spans="1:1" x14ac:dyDescent="0.2">
      <c r="A188" s="120"/>
    </row>
    <row r="189" spans="1:1" x14ac:dyDescent="0.2">
      <c r="A189" s="120"/>
    </row>
    <row r="190" spans="1:1" x14ac:dyDescent="0.2">
      <c r="A190" s="120"/>
    </row>
    <row r="191" spans="1:1" x14ac:dyDescent="0.2">
      <c r="A191" s="120"/>
    </row>
    <row r="192" spans="1:1" x14ac:dyDescent="0.2">
      <c r="A192" s="120"/>
    </row>
    <row r="193" spans="1:1" x14ac:dyDescent="0.2">
      <c r="A193" s="120"/>
    </row>
    <row r="194" spans="1:1" x14ac:dyDescent="0.2">
      <c r="A194" s="120"/>
    </row>
    <row r="195" spans="1:1" x14ac:dyDescent="0.2">
      <c r="A195" s="120"/>
    </row>
    <row r="196" spans="1:1" x14ac:dyDescent="0.2">
      <c r="A196" s="120"/>
    </row>
    <row r="197" spans="1:1" x14ac:dyDescent="0.2">
      <c r="A197" s="120"/>
    </row>
    <row r="198" spans="1:1" x14ac:dyDescent="0.2">
      <c r="A198" s="120"/>
    </row>
    <row r="199" spans="1:1" x14ac:dyDescent="0.2">
      <c r="A199" s="120"/>
    </row>
    <row r="200" spans="1:1" x14ac:dyDescent="0.2">
      <c r="A200" s="120"/>
    </row>
    <row r="201" spans="1:1" x14ac:dyDescent="0.2">
      <c r="A201" s="120"/>
    </row>
    <row r="202" spans="1:1" x14ac:dyDescent="0.2">
      <c r="A202" s="120"/>
    </row>
    <row r="203" spans="1:1" x14ac:dyDescent="0.2">
      <c r="A203" s="120"/>
    </row>
    <row r="204" spans="1:1" x14ac:dyDescent="0.2">
      <c r="A204" s="120"/>
    </row>
    <row r="205" spans="1:1" x14ac:dyDescent="0.2">
      <c r="A205" s="120"/>
    </row>
    <row r="206" spans="1:1" x14ac:dyDescent="0.2">
      <c r="A206" s="120"/>
    </row>
    <row r="207" spans="1:1" x14ac:dyDescent="0.2">
      <c r="A207" s="120"/>
    </row>
    <row r="208" spans="1:1" x14ac:dyDescent="0.2">
      <c r="A208" s="120"/>
    </row>
    <row r="209" spans="1:1" x14ac:dyDescent="0.2">
      <c r="A209" s="120"/>
    </row>
    <row r="210" spans="1:1" x14ac:dyDescent="0.2">
      <c r="A210" s="120"/>
    </row>
    <row r="211" spans="1:1" x14ac:dyDescent="0.2">
      <c r="A211" s="120"/>
    </row>
    <row r="212" spans="1:1" x14ac:dyDescent="0.2">
      <c r="A212" s="120"/>
    </row>
    <row r="213" spans="1:1" x14ac:dyDescent="0.2">
      <c r="A213" s="120"/>
    </row>
    <row r="214" spans="1:1" x14ac:dyDescent="0.2">
      <c r="A214" s="120"/>
    </row>
    <row r="215" spans="1:1" x14ac:dyDescent="0.2">
      <c r="A215" s="120"/>
    </row>
    <row r="216" spans="1:1" x14ac:dyDescent="0.2">
      <c r="A216" s="120"/>
    </row>
    <row r="217" spans="1:1" x14ac:dyDescent="0.2">
      <c r="A217" s="120"/>
    </row>
    <row r="218" spans="1:1" x14ac:dyDescent="0.2">
      <c r="A218" s="120"/>
    </row>
    <row r="219" spans="1:1" x14ac:dyDescent="0.2">
      <c r="A219" s="120"/>
    </row>
    <row r="220" spans="1:1" x14ac:dyDescent="0.2">
      <c r="A220" s="120"/>
    </row>
    <row r="221" spans="1:1" x14ac:dyDescent="0.2">
      <c r="A221" s="120"/>
    </row>
    <row r="222" spans="1:1" x14ac:dyDescent="0.2">
      <c r="A222" s="120"/>
    </row>
    <row r="223" spans="1:1" x14ac:dyDescent="0.2">
      <c r="A223" s="120"/>
    </row>
    <row r="224" spans="1:1" x14ac:dyDescent="0.2">
      <c r="A224" s="120"/>
    </row>
    <row r="225" spans="1:1" x14ac:dyDescent="0.2">
      <c r="A225" s="120"/>
    </row>
    <row r="226" spans="1:1" x14ac:dyDescent="0.2">
      <c r="A226" s="120"/>
    </row>
    <row r="227" spans="1:1" x14ac:dyDescent="0.2">
      <c r="A227" s="120"/>
    </row>
    <row r="228" spans="1:1" x14ac:dyDescent="0.2">
      <c r="A228" s="120"/>
    </row>
    <row r="229" spans="1:1" x14ac:dyDescent="0.2">
      <c r="A229" s="120"/>
    </row>
    <row r="230" spans="1:1" x14ac:dyDescent="0.2">
      <c r="A230" s="120"/>
    </row>
    <row r="231" spans="1:1" x14ac:dyDescent="0.2">
      <c r="A231" s="120"/>
    </row>
    <row r="232" spans="1:1" x14ac:dyDescent="0.2">
      <c r="A232" s="120"/>
    </row>
    <row r="233" spans="1:1" x14ac:dyDescent="0.2">
      <c r="A233" s="120"/>
    </row>
    <row r="234" spans="1:1" x14ac:dyDescent="0.2">
      <c r="A234" s="120"/>
    </row>
    <row r="235" spans="1:1" x14ac:dyDescent="0.2">
      <c r="A235" s="120"/>
    </row>
    <row r="236" spans="1:1" x14ac:dyDescent="0.2">
      <c r="A236" s="120"/>
    </row>
    <row r="237" spans="1:1" x14ac:dyDescent="0.2">
      <c r="A237" s="120"/>
    </row>
    <row r="238" spans="1:1" x14ac:dyDescent="0.2">
      <c r="A238" s="120"/>
    </row>
    <row r="239" spans="1:1" x14ac:dyDescent="0.2">
      <c r="A239" s="120"/>
    </row>
    <row r="240" spans="1:1" x14ac:dyDescent="0.2">
      <c r="A240" s="120"/>
    </row>
    <row r="241" spans="1:1" x14ac:dyDescent="0.2">
      <c r="A241" s="120"/>
    </row>
    <row r="242" spans="1:1" x14ac:dyDescent="0.2">
      <c r="A242" s="120"/>
    </row>
    <row r="243" spans="1:1" x14ac:dyDescent="0.2">
      <c r="A243" s="120"/>
    </row>
    <row r="244" spans="1:1" x14ac:dyDescent="0.2">
      <c r="A244" s="120"/>
    </row>
    <row r="245" spans="1:1" x14ac:dyDescent="0.2">
      <c r="A245" s="120"/>
    </row>
    <row r="246" spans="1:1" x14ac:dyDescent="0.2">
      <c r="A246" s="120"/>
    </row>
    <row r="247" spans="1:1" x14ac:dyDescent="0.2">
      <c r="A247" s="120"/>
    </row>
    <row r="248" spans="1:1" x14ac:dyDescent="0.2">
      <c r="A248" s="120"/>
    </row>
    <row r="249" spans="1:1" x14ac:dyDescent="0.2">
      <c r="A249" s="120"/>
    </row>
    <row r="250" spans="1:1" x14ac:dyDescent="0.2">
      <c r="A250" s="120"/>
    </row>
    <row r="251" spans="1:1" x14ac:dyDescent="0.2">
      <c r="A251" s="120"/>
    </row>
    <row r="252" spans="1:1" x14ac:dyDescent="0.2">
      <c r="A252" s="120"/>
    </row>
    <row r="253" spans="1:1" x14ac:dyDescent="0.2">
      <c r="A253" s="120"/>
    </row>
    <row r="254" spans="1:1" x14ac:dyDescent="0.2">
      <c r="A254" s="120"/>
    </row>
    <row r="255" spans="1:1" x14ac:dyDescent="0.2">
      <c r="A255" s="120"/>
    </row>
    <row r="256" spans="1:1" x14ac:dyDescent="0.2">
      <c r="A256" s="120"/>
    </row>
    <row r="257" spans="1:1" x14ac:dyDescent="0.2">
      <c r="A257" s="120"/>
    </row>
    <row r="258" spans="1:1" x14ac:dyDescent="0.2">
      <c r="A258" s="120"/>
    </row>
    <row r="259" spans="1:1" x14ac:dyDescent="0.2">
      <c r="A259" s="120"/>
    </row>
    <row r="260" spans="1:1" x14ac:dyDescent="0.2">
      <c r="A260" s="120"/>
    </row>
    <row r="261" spans="1:1" x14ac:dyDescent="0.2">
      <c r="A261" s="120"/>
    </row>
    <row r="262" spans="1:1" x14ac:dyDescent="0.2">
      <c r="A262" s="120"/>
    </row>
    <row r="263" spans="1:1" x14ac:dyDescent="0.2">
      <c r="A263" s="120"/>
    </row>
    <row r="264" spans="1:1" x14ac:dyDescent="0.2">
      <c r="A264" s="120"/>
    </row>
    <row r="265" spans="1:1" x14ac:dyDescent="0.2">
      <c r="A265" s="120"/>
    </row>
    <row r="266" spans="1:1" x14ac:dyDescent="0.2">
      <c r="A266" s="120"/>
    </row>
    <row r="267" spans="1:1" x14ac:dyDescent="0.2">
      <c r="A267" s="120"/>
    </row>
    <row r="268" spans="1:1" x14ac:dyDescent="0.2">
      <c r="A268" s="120"/>
    </row>
    <row r="269" spans="1:1" x14ac:dyDescent="0.2">
      <c r="A269" s="120"/>
    </row>
    <row r="270" spans="1:1" x14ac:dyDescent="0.2">
      <c r="A270" s="120"/>
    </row>
    <row r="271" spans="1:1" x14ac:dyDescent="0.2">
      <c r="A271" s="120"/>
    </row>
    <row r="272" spans="1:1" x14ac:dyDescent="0.2">
      <c r="A272" s="120"/>
    </row>
    <row r="273" spans="1:1" x14ac:dyDescent="0.2">
      <c r="A273" s="120"/>
    </row>
    <row r="274" spans="1:1" x14ac:dyDescent="0.2">
      <c r="A274" s="120"/>
    </row>
    <row r="275" spans="1:1" x14ac:dyDescent="0.2">
      <c r="A275" s="120"/>
    </row>
    <row r="276" spans="1:1" x14ac:dyDescent="0.2">
      <c r="A276" s="120"/>
    </row>
    <row r="277" spans="1:1" x14ac:dyDescent="0.2">
      <c r="A277" s="120"/>
    </row>
    <row r="278" spans="1:1" x14ac:dyDescent="0.2">
      <c r="A278" s="120"/>
    </row>
    <row r="279" spans="1:1" x14ac:dyDescent="0.2">
      <c r="A279" s="120"/>
    </row>
    <row r="280" spans="1:1" x14ac:dyDescent="0.2">
      <c r="A280" s="120"/>
    </row>
    <row r="281" spans="1:1" x14ac:dyDescent="0.2">
      <c r="A281" s="120"/>
    </row>
    <row r="282" spans="1:1" x14ac:dyDescent="0.2">
      <c r="A282" s="120"/>
    </row>
    <row r="283" spans="1:1" x14ac:dyDescent="0.2">
      <c r="A283" s="120"/>
    </row>
    <row r="284" spans="1:1" x14ac:dyDescent="0.2">
      <c r="A284" s="120"/>
    </row>
    <row r="285" spans="1:1" x14ac:dyDescent="0.2">
      <c r="A285" s="120"/>
    </row>
    <row r="286" spans="1:1" x14ac:dyDescent="0.2">
      <c r="A286" s="120"/>
    </row>
    <row r="287" spans="1:1" x14ac:dyDescent="0.2">
      <c r="A287" s="120"/>
    </row>
    <row r="288" spans="1:1" x14ac:dyDescent="0.2">
      <c r="A288" s="120"/>
    </row>
    <row r="289" spans="1:1" x14ac:dyDescent="0.2">
      <c r="A289" s="120"/>
    </row>
    <row r="290" spans="1:1" x14ac:dyDescent="0.2">
      <c r="A290" s="120"/>
    </row>
    <row r="291" spans="1:1" x14ac:dyDescent="0.2">
      <c r="A291" s="120"/>
    </row>
    <row r="292" spans="1:1" x14ac:dyDescent="0.2">
      <c r="A292" s="120"/>
    </row>
    <row r="293" spans="1:1" x14ac:dyDescent="0.2">
      <c r="A293" s="120"/>
    </row>
    <row r="294" spans="1:1" x14ac:dyDescent="0.2">
      <c r="A294" s="120"/>
    </row>
    <row r="295" spans="1:1" x14ac:dyDescent="0.2">
      <c r="A295" s="120"/>
    </row>
    <row r="296" spans="1:1" x14ac:dyDescent="0.2">
      <c r="A296" s="120"/>
    </row>
    <row r="297" spans="1:1" x14ac:dyDescent="0.2">
      <c r="A297" s="120"/>
    </row>
    <row r="298" spans="1:1" x14ac:dyDescent="0.2">
      <c r="A298" s="120"/>
    </row>
    <row r="299" spans="1:1" x14ac:dyDescent="0.2">
      <c r="A299" s="120"/>
    </row>
    <row r="300" spans="1:1" x14ac:dyDescent="0.2">
      <c r="A300" s="120"/>
    </row>
    <row r="301" spans="1:1" x14ac:dyDescent="0.2">
      <c r="A301" s="120"/>
    </row>
    <row r="302" spans="1:1" x14ac:dyDescent="0.2">
      <c r="A302" s="120"/>
    </row>
    <row r="303" spans="1:1" x14ac:dyDescent="0.2">
      <c r="A303" s="120"/>
    </row>
    <row r="304" spans="1:1" x14ac:dyDescent="0.2">
      <c r="A304" s="120"/>
    </row>
    <row r="305" spans="1:1" x14ac:dyDescent="0.2">
      <c r="A305" s="120"/>
    </row>
    <row r="306" spans="1:1" x14ac:dyDescent="0.2">
      <c r="A306" s="120"/>
    </row>
    <row r="307" spans="1:1" x14ac:dyDescent="0.2">
      <c r="A307" s="120"/>
    </row>
    <row r="308" spans="1:1" x14ac:dyDescent="0.2">
      <c r="A308" s="120"/>
    </row>
    <row r="309" spans="1:1" x14ac:dyDescent="0.2">
      <c r="A309" s="120"/>
    </row>
    <row r="310" spans="1:1" x14ac:dyDescent="0.2">
      <c r="A310" s="120"/>
    </row>
    <row r="311" spans="1:1" x14ac:dyDescent="0.2">
      <c r="A311" s="120"/>
    </row>
    <row r="312" spans="1:1" x14ac:dyDescent="0.2">
      <c r="A312" s="120"/>
    </row>
    <row r="313" spans="1:1" x14ac:dyDescent="0.2">
      <c r="A313" s="120"/>
    </row>
    <row r="314" spans="1:1" x14ac:dyDescent="0.2">
      <c r="A314" s="120"/>
    </row>
    <row r="315" spans="1:1" x14ac:dyDescent="0.2">
      <c r="A315" s="120"/>
    </row>
    <row r="316" spans="1:1" x14ac:dyDescent="0.2">
      <c r="A316" s="120"/>
    </row>
    <row r="317" spans="1:1" x14ac:dyDescent="0.2">
      <c r="A317" s="120"/>
    </row>
    <row r="318" spans="1:1" x14ac:dyDescent="0.2">
      <c r="A318" s="120"/>
    </row>
    <row r="319" spans="1:1" x14ac:dyDescent="0.2">
      <c r="A319" s="120"/>
    </row>
    <row r="320" spans="1:1" x14ac:dyDescent="0.2">
      <c r="A320" s="120"/>
    </row>
    <row r="321" spans="1:1" x14ac:dyDescent="0.2">
      <c r="A321" s="120"/>
    </row>
    <row r="322" spans="1:1" x14ac:dyDescent="0.2">
      <c r="A322" s="120"/>
    </row>
    <row r="323" spans="1:1" x14ac:dyDescent="0.2">
      <c r="A323" s="120"/>
    </row>
    <row r="324" spans="1:1" x14ac:dyDescent="0.2">
      <c r="A324" s="120"/>
    </row>
    <row r="325" spans="1:1" x14ac:dyDescent="0.2">
      <c r="A325" s="120"/>
    </row>
    <row r="326" spans="1:1" x14ac:dyDescent="0.2">
      <c r="A326" s="120"/>
    </row>
    <row r="327" spans="1:1" x14ac:dyDescent="0.2">
      <c r="A327" s="120"/>
    </row>
    <row r="328" spans="1:1" x14ac:dyDescent="0.2">
      <c r="A328" s="120"/>
    </row>
    <row r="329" spans="1:1" x14ac:dyDescent="0.2">
      <c r="A329" s="120"/>
    </row>
    <row r="330" spans="1:1" x14ac:dyDescent="0.2">
      <c r="A330" s="120"/>
    </row>
    <row r="331" spans="1:1" x14ac:dyDescent="0.2">
      <c r="A331" s="120"/>
    </row>
    <row r="332" spans="1:1" x14ac:dyDescent="0.2">
      <c r="A332" s="120"/>
    </row>
    <row r="333" spans="1:1" x14ac:dyDescent="0.2">
      <c r="A333" s="120"/>
    </row>
    <row r="334" spans="1:1" x14ac:dyDescent="0.2">
      <c r="A334" s="120"/>
    </row>
    <row r="335" spans="1:1" x14ac:dyDescent="0.2">
      <c r="A335" s="120"/>
    </row>
    <row r="336" spans="1:1" x14ac:dyDescent="0.2">
      <c r="A336" s="120"/>
    </row>
    <row r="337" spans="1:1" x14ac:dyDescent="0.2">
      <c r="A337" s="120"/>
    </row>
    <row r="338" spans="1:1" x14ac:dyDescent="0.2">
      <c r="A338" s="120"/>
    </row>
    <row r="339" spans="1:1" x14ac:dyDescent="0.2">
      <c r="A339" s="120"/>
    </row>
    <row r="340" spans="1:1" x14ac:dyDescent="0.2">
      <c r="A340" s="120"/>
    </row>
    <row r="341" spans="1:1" x14ac:dyDescent="0.2">
      <c r="A341" s="120"/>
    </row>
    <row r="342" spans="1:1" x14ac:dyDescent="0.2">
      <c r="A342" s="120"/>
    </row>
    <row r="343" spans="1:1" x14ac:dyDescent="0.2">
      <c r="A343" s="120"/>
    </row>
    <row r="344" spans="1:1" x14ac:dyDescent="0.2">
      <c r="A344" s="120"/>
    </row>
    <row r="345" spans="1:1" x14ac:dyDescent="0.2">
      <c r="A345" s="120"/>
    </row>
    <row r="346" spans="1:1" x14ac:dyDescent="0.2">
      <c r="A346" s="120"/>
    </row>
    <row r="347" spans="1:1" x14ac:dyDescent="0.2">
      <c r="A347" s="120"/>
    </row>
    <row r="348" spans="1:1" x14ac:dyDescent="0.2">
      <c r="A348" s="120"/>
    </row>
    <row r="349" spans="1:1" x14ac:dyDescent="0.2">
      <c r="A349" s="120"/>
    </row>
    <row r="350" spans="1:1" x14ac:dyDescent="0.2">
      <c r="A350" s="120"/>
    </row>
    <row r="351" spans="1:1" x14ac:dyDescent="0.2">
      <c r="A351" s="120"/>
    </row>
    <row r="352" spans="1:1" x14ac:dyDescent="0.2">
      <c r="A352" s="120"/>
    </row>
    <row r="353" spans="1:1" x14ac:dyDescent="0.2">
      <c r="A353" s="120"/>
    </row>
    <row r="354" spans="1:1" x14ac:dyDescent="0.2">
      <c r="A354" s="120"/>
    </row>
    <row r="355" spans="1:1" x14ac:dyDescent="0.2">
      <c r="A355" s="120"/>
    </row>
    <row r="356" spans="1:1" x14ac:dyDescent="0.2">
      <c r="A356" s="120"/>
    </row>
    <row r="357" spans="1:1" x14ac:dyDescent="0.2">
      <c r="A357" s="120"/>
    </row>
    <row r="358" spans="1:1" x14ac:dyDescent="0.2">
      <c r="A358" s="120"/>
    </row>
    <row r="359" spans="1:1" x14ac:dyDescent="0.2">
      <c r="A359" s="120"/>
    </row>
    <row r="360" spans="1:1" x14ac:dyDescent="0.2">
      <c r="A360" s="120"/>
    </row>
    <row r="361" spans="1:1" x14ac:dyDescent="0.2">
      <c r="A361" s="120"/>
    </row>
    <row r="362" spans="1:1" x14ac:dyDescent="0.2">
      <c r="A362" s="120"/>
    </row>
    <row r="363" spans="1:1" x14ac:dyDescent="0.2">
      <c r="A363" s="120"/>
    </row>
    <row r="364" spans="1:1" x14ac:dyDescent="0.2">
      <c r="A364" s="120"/>
    </row>
    <row r="365" spans="1:1" x14ac:dyDescent="0.2">
      <c r="A365" s="120"/>
    </row>
    <row r="366" spans="1:1" x14ac:dyDescent="0.2">
      <c r="A366" s="120"/>
    </row>
    <row r="367" spans="1:1" x14ac:dyDescent="0.2">
      <c r="A367" s="120"/>
    </row>
    <row r="368" spans="1:1" x14ac:dyDescent="0.2">
      <c r="A368" s="120"/>
    </row>
    <row r="369" spans="1:1" x14ac:dyDescent="0.2">
      <c r="A369" s="120"/>
    </row>
    <row r="370" spans="1:1" x14ac:dyDescent="0.2">
      <c r="A370" s="120"/>
    </row>
    <row r="371" spans="1:1" x14ac:dyDescent="0.2">
      <c r="A371" s="120"/>
    </row>
    <row r="372" spans="1:1" x14ac:dyDescent="0.2">
      <c r="A372" s="120"/>
    </row>
    <row r="373" spans="1:1" x14ac:dyDescent="0.2">
      <c r="A373" s="120"/>
    </row>
    <row r="374" spans="1:1" x14ac:dyDescent="0.2">
      <c r="A374" s="120"/>
    </row>
    <row r="375" spans="1:1" x14ac:dyDescent="0.2">
      <c r="A375" s="120"/>
    </row>
    <row r="376" spans="1:1" x14ac:dyDescent="0.2">
      <c r="A376" s="120"/>
    </row>
    <row r="377" spans="1:1" x14ac:dyDescent="0.2">
      <c r="A377" s="120"/>
    </row>
    <row r="378" spans="1:1" x14ac:dyDescent="0.2">
      <c r="A378" s="120"/>
    </row>
    <row r="379" spans="1:1" x14ac:dyDescent="0.2">
      <c r="A379" s="120"/>
    </row>
    <row r="380" spans="1:1" x14ac:dyDescent="0.2">
      <c r="A380" s="120"/>
    </row>
    <row r="381" spans="1:1" x14ac:dyDescent="0.2">
      <c r="A381" s="120"/>
    </row>
    <row r="382" spans="1:1" x14ac:dyDescent="0.2">
      <c r="A382" s="120"/>
    </row>
    <row r="383" spans="1:1" x14ac:dyDescent="0.2">
      <c r="A383" s="120"/>
    </row>
    <row r="384" spans="1:1" x14ac:dyDescent="0.2">
      <c r="A384" s="120"/>
    </row>
    <row r="385" spans="1:1" x14ac:dyDescent="0.2">
      <c r="A385" s="120"/>
    </row>
    <row r="386" spans="1:1" x14ac:dyDescent="0.2">
      <c r="A386" s="120"/>
    </row>
    <row r="387" spans="1:1" x14ac:dyDescent="0.2">
      <c r="A387" s="120"/>
    </row>
    <row r="388" spans="1:1" x14ac:dyDescent="0.2">
      <c r="A388" s="120"/>
    </row>
    <row r="389" spans="1:1" x14ac:dyDescent="0.2">
      <c r="A389" s="120"/>
    </row>
    <row r="390" spans="1:1" x14ac:dyDescent="0.2">
      <c r="A390" s="120"/>
    </row>
    <row r="391" spans="1:1" x14ac:dyDescent="0.2">
      <c r="A391" s="120"/>
    </row>
    <row r="392" spans="1:1" x14ac:dyDescent="0.2">
      <c r="A392" s="120"/>
    </row>
    <row r="393" spans="1:1" x14ac:dyDescent="0.2">
      <c r="A393" s="120"/>
    </row>
    <row r="394" spans="1:1" x14ac:dyDescent="0.2">
      <c r="A394" s="120"/>
    </row>
    <row r="395" spans="1:1" x14ac:dyDescent="0.2">
      <c r="A395" s="120"/>
    </row>
    <row r="396" spans="1:1" x14ac:dyDescent="0.2">
      <c r="A396" s="120"/>
    </row>
    <row r="397" spans="1:1" x14ac:dyDescent="0.2">
      <c r="A397" s="120"/>
    </row>
    <row r="398" spans="1:1" x14ac:dyDescent="0.2">
      <c r="A398" s="120"/>
    </row>
    <row r="399" spans="1:1" x14ac:dyDescent="0.2">
      <c r="A399" s="120"/>
    </row>
    <row r="400" spans="1:1" x14ac:dyDescent="0.2">
      <c r="A400" s="120"/>
    </row>
    <row r="401" spans="1:1" x14ac:dyDescent="0.2">
      <c r="A401" s="120"/>
    </row>
    <row r="402" spans="1:1" x14ac:dyDescent="0.2">
      <c r="A402" s="120"/>
    </row>
    <row r="403" spans="1:1" x14ac:dyDescent="0.2">
      <c r="A403" s="120"/>
    </row>
    <row r="404" spans="1:1" x14ac:dyDescent="0.2">
      <c r="A404" s="120"/>
    </row>
    <row r="405" spans="1:1" x14ac:dyDescent="0.2">
      <c r="A405" s="120"/>
    </row>
    <row r="406" spans="1:1" x14ac:dyDescent="0.2">
      <c r="A406" s="120"/>
    </row>
    <row r="407" spans="1:1" x14ac:dyDescent="0.2">
      <c r="A407" s="120"/>
    </row>
    <row r="408" spans="1:1" x14ac:dyDescent="0.2">
      <c r="A408" s="120"/>
    </row>
    <row r="409" spans="1:1" x14ac:dyDescent="0.2">
      <c r="A409" s="120"/>
    </row>
    <row r="410" spans="1:1" x14ac:dyDescent="0.2">
      <c r="A410" s="120"/>
    </row>
    <row r="411" spans="1:1" x14ac:dyDescent="0.2">
      <c r="A411" s="120"/>
    </row>
    <row r="412" spans="1:1" x14ac:dyDescent="0.2">
      <c r="A412" s="120"/>
    </row>
    <row r="413" spans="1:1" x14ac:dyDescent="0.2">
      <c r="A413" s="120"/>
    </row>
    <row r="414" spans="1:1" x14ac:dyDescent="0.2">
      <c r="A414" s="120"/>
    </row>
    <row r="415" spans="1:1" x14ac:dyDescent="0.2">
      <c r="A415" s="120"/>
    </row>
    <row r="416" spans="1:1" x14ac:dyDescent="0.2">
      <c r="A416" s="120"/>
    </row>
    <row r="417" spans="1:1" x14ac:dyDescent="0.2">
      <c r="A417" s="120"/>
    </row>
    <row r="418" spans="1:1" x14ac:dyDescent="0.2">
      <c r="A418" s="120"/>
    </row>
    <row r="419" spans="1:1" x14ac:dyDescent="0.2">
      <c r="A419" s="120"/>
    </row>
    <row r="420" spans="1:1" x14ac:dyDescent="0.2">
      <c r="A420" s="120"/>
    </row>
    <row r="421" spans="1:1" x14ac:dyDescent="0.2">
      <c r="A421" s="120"/>
    </row>
    <row r="422" spans="1:1" x14ac:dyDescent="0.2">
      <c r="A422" s="120"/>
    </row>
    <row r="423" spans="1:1" x14ac:dyDescent="0.2">
      <c r="A423" s="120"/>
    </row>
    <row r="424" spans="1:1" x14ac:dyDescent="0.2">
      <c r="A424" s="120"/>
    </row>
    <row r="425" spans="1:1" x14ac:dyDescent="0.2">
      <c r="A425" s="120"/>
    </row>
    <row r="426" spans="1:1" x14ac:dyDescent="0.2">
      <c r="A426" s="120"/>
    </row>
    <row r="427" spans="1:1" x14ac:dyDescent="0.2">
      <c r="A427" s="120"/>
    </row>
    <row r="428" spans="1:1" x14ac:dyDescent="0.2">
      <c r="A428" s="120"/>
    </row>
    <row r="429" spans="1:1" x14ac:dyDescent="0.2">
      <c r="A429" s="120"/>
    </row>
    <row r="430" spans="1:1" x14ac:dyDescent="0.2">
      <c r="A430" s="120"/>
    </row>
    <row r="431" spans="1:1" x14ac:dyDescent="0.2">
      <c r="A431" s="120"/>
    </row>
    <row r="432" spans="1:1" x14ac:dyDescent="0.2">
      <c r="A432" s="120"/>
    </row>
    <row r="433" spans="1:1" x14ac:dyDescent="0.2">
      <c r="A433" s="120"/>
    </row>
    <row r="434" spans="1:1" x14ac:dyDescent="0.2">
      <c r="A434" s="120"/>
    </row>
    <row r="435" spans="1:1" x14ac:dyDescent="0.2">
      <c r="A435" s="120"/>
    </row>
    <row r="436" spans="1:1" x14ac:dyDescent="0.2">
      <c r="A436" s="120"/>
    </row>
    <row r="437" spans="1:1" x14ac:dyDescent="0.2">
      <c r="A437" s="120"/>
    </row>
    <row r="438" spans="1:1" x14ac:dyDescent="0.2">
      <c r="A438" s="120"/>
    </row>
    <row r="439" spans="1:1" x14ac:dyDescent="0.2">
      <c r="A439" s="120"/>
    </row>
    <row r="440" spans="1:1" x14ac:dyDescent="0.2">
      <c r="A440" s="120"/>
    </row>
    <row r="441" spans="1:1" x14ac:dyDescent="0.2">
      <c r="A441" s="120"/>
    </row>
    <row r="442" spans="1:1" x14ac:dyDescent="0.2">
      <c r="A442" s="120"/>
    </row>
    <row r="443" spans="1:1" x14ac:dyDescent="0.2">
      <c r="A443" s="120"/>
    </row>
    <row r="444" spans="1:1" x14ac:dyDescent="0.2">
      <c r="A444" s="120"/>
    </row>
    <row r="445" spans="1:1" x14ac:dyDescent="0.2">
      <c r="A445" s="120"/>
    </row>
    <row r="446" spans="1:1" x14ac:dyDescent="0.2">
      <c r="A446" s="120"/>
    </row>
    <row r="447" spans="1:1" x14ac:dyDescent="0.2">
      <c r="A447" s="120"/>
    </row>
  </sheetData>
  <mergeCells count="109">
    <mergeCell ref="A25:A26"/>
    <mergeCell ref="B25:B26"/>
    <mergeCell ref="C25:C26"/>
    <mergeCell ref="P25:P26"/>
    <mergeCell ref="Q25:Q26"/>
    <mergeCell ref="A23:A24"/>
    <mergeCell ref="B23:B24"/>
    <mergeCell ref="C23:C24"/>
    <mergeCell ref="P23:P24"/>
    <mergeCell ref="Q23:Q24"/>
    <mergeCell ref="A1:B1"/>
    <mergeCell ref="C1:K1"/>
    <mergeCell ref="L1:M1"/>
    <mergeCell ref="N1:P1"/>
    <mergeCell ref="A2:B2"/>
    <mergeCell ref="C2:D2"/>
    <mergeCell ref="E2:P2"/>
    <mergeCell ref="Q7:Q8"/>
    <mergeCell ref="A3:B3"/>
    <mergeCell ref="C3:D3"/>
    <mergeCell ref="E3:P3"/>
    <mergeCell ref="A5:A6"/>
    <mergeCell ref="D5:O5"/>
    <mergeCell ref="P5:P6"/>
    <mergeCell ref="A13:A14"/>
    <mergeCell ref="B13:B14"/>
    <mergeCell ref="C13:C14"/>
    <mergeCell ref="P13:P14"/>
    <mergeCell ref="Q13:Q14"/>
    <mergeCell ref="Q5:Q6"/>
    <mergeCell ref="A7:A8"/>
    <mergeCell ref="B7:B8"/>
    <mergeCell ref="C7:C8"/>
    <mergeCell ref="P7:P8"/>
    <mergeCell ref="A17:A18"/>
    <mergeCell ref="B17:B18"/>
    <mergeCell ref="C17:C18"/>
    <mergeCell ref="P17:P18"/>
    <mergeCell ref="Q17:Q18"/>
    <mergeCell ref="A11:A12"/>
    <mergeCell ref="B11:B12"/>
    <mergeCell ref="C11:C12"/>
    <mergeCell ref="P11:P12"/>
    <mergeCell ref="Q11:Q12"/>
    <mergeCell ref="A21:A22"/>
    <mergeCell ref="B21:B22"/>
    <mergeCell ref="C21:C22"/>
    <mergeCell ref="P21:P22"/>
    <mergeCell ref="Q21:Q22"/>
    <mergeCell ref="A15:A16"/>
    <mergeCell ref="B15:B16"/>
    <mergeCell ref="C15:C16"/>
    <mergeCell ref="P15:P16"/>
    <mergeCell ref="Q15:Q16"/>
    <mergeCell ref="A27:A28"/>
    <mergeCell ref="B27:B28"/>
    <mergeCell ref="C27:C28"/>
    <mergeCell ref="P27:P28"/>
    <mergeCell ref="Q27:Q28"/>
    <mergeCell ref="A19:A20"/>
    <mergeCell ref="B19:B20"/>
    <mergeCell ref="C19:C20"/>
    <mergeCell ref="P19:P20"/>
    <mergeCell ref="Q19:Q20"/>
    <mergeCell ref="A29:A30"/>
    <mergeCell ref="B29:B30"/>
    <mergeCell ref="C29:C30"/>
    <mergeCell ref="P29:P30"/>
    <mergeCell ref="Q29:Q30"/>
    <mergeCell ref="A31:B31"/>
    <mergeCell ref="A32:B32"/>
    <mergeCell ref="A33:B33"/>
    <mergeCell ref="A34:C34"/>
    <mergeCell ref="A35:C35"/>
    <mergeCell ref="A36:C36"/>
    <mergeCell ref="A38:D38"/>
    <mergeCell ref="E38:K38"/>
    <mergeCell ref="L38:Q38"/>
    <mergeCell ref="B39:D39"/>
    <mergeCell ref="F39:K39"/>
    <mergeCell ref="L39:M39"/>
    <mergeCell ref="N39:Q39"/>
    <mergeCell ref="N44:Q44"/>
    <mergeCell ref="A40:B40"/>
    <mergeCell ref="C40:D40"/>
    <mergeCell ref="E40:G40"/>
    <mergeCell ref="H40:K40"/>
    <mergeCell ref="L40:M40"/>
    <mergeCell ref="N40:Q40"/>
    <mergeCell ref="A47:Q48"/>
    <mergeCell ref="A49:Q50"/>
    <mergeCell ref="A41:D44"/>
    <mergeCell ref="E41:K41"/>
    <mergeCell ref="L41:Q41"/>
    <mergeCell ref="E42:K42"/>
    <mergeCell ref="L42:M43"/>
    <mergeCell ref="N42:Q43"/>
    <mergeCell ref="F43:K43"/>
    <mergeCell ref="E44:G44"/>
    <mergeCell ref="A9:A10"/>
    <mergeCell ref="B9:B10"/>
    <mergeCell ref="C9:C10"/>
    <mergeCell ref="P9:P10"/>
    <mergeCell ref="Q9:Q10"/>
    <mergeCell ref="A45:D45"/>
    <mergeCell ref="E45:K45"/>
    <mergeCell ref="L45:Q45"/>
    <mergeCell ref="H44:K44"/>
    <mergeCell ref="L44:M44"/>
  </mergeCells>
  <printOptions horizontalCentered="1" verticalCentered="1"/>
  <pageMargins left="0.39370078740157483" right="0.39370078740157483" top="0.78740157480314965" bottom="0.70866141732283472" header="0.6692913385826772" footer="0.59055118110236227"/>
  <pageSetup paperSize="9" scale="35" orientation="landscape" horizontalDpi="4294967293" verticalDpi="4294967293" r:id="rId1"/>
  <headerFooter alignWithMargins="0">
    <oddFooter>Página &amp;P de &amp;N</oddFooter>
  </headerFooter>
  <rowBreaks count="1" manualBreakCount="1">
    <brk id="4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PLANILHA ORÇAMENTÁRIA</vt:lpstr>
      <vt:lpstr>QUANTITATIVO LIGAÇÕES</vt:lpstr>
      <vt:lpstr>QUANTITATIVO REDES</vt:lpstr>
      <vt:lpstr>QUANTITATIVO DE ABERTURAS</vt:lpstr>
      <vt:lpstr>CRONOGRAMA FIS_FINAN</vt:lpstr>
      <vt:lpstr>'CRONOGRAMA FIS_FINAN'!Area_de_impressao</vt:lpstr>
      <vt:lpstr>'PLANILHA ORÇAMENTÁRIA'!Area_de_impressao</vt:lpstr>
      <vt:lpstr>'QUANTITATIVO DE ABERTURAS'!Area_de_impressao</vt:lpstr>
      <vt:lpstr>'QUANTITATIVO LIGAÇÕES'!Area_de_impressao</vt:lpstr>
      <vt:lpstr>'QUANTITATIVO REDES'!Area_de_impressao</vt:lpstr>
      <vt:lpstr>'PLANILHA ORÇAMENTÁRIA'!Titulos_de_impressao</vt:lpstr>
    </vt:vector>
  </TitlesOfParts>
  <Company>Organização não conhecida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A. COSTA</dc:creator>
  <cp:lastModifiedBy>usuario</cp:lastModifiedBy>
  <cp:lastPrinted>2018-03-29T18:18:07Z</cp:lastPrinted>
  <dcterms:created xsi:type="dcterms:W3CDTF">1999-02-01T16:53:28Z</dcterms:created>
  <dcterms:modified xsi:type="dcterms:W3CDTF">2018-03-29T18:19:34Z</dcterms:modified>
</cp:coreProperties>
</file>